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5360" windowHeight="5670" tabRatio="755"/>
  </bookViews>
  <sheets>
    <sheet name="Instructions" sheetId="9" r:id="rId1"/>
    <sheet name="V_T01" sheetId="23" r:id="rId2"/>
    <sheet name="UA_T01" sheetId="22" r:id="rId3"/>
    <sheet name="D_T01" sheetId="21" r:id="rId4"/>
    <sheet name="V_T02" sheetId="26" r:id="rId5"/>
    <sheet name="UA_T02" sheetId="25" r:id="rId6"/>
    <sheet name="D_T02" sheetId="24" r:id="rId7"/>
    <sheet name="V_T03" sheetId="30" r:id="rId8"/>
    <sheet name="UA_T03" sheetId="29" r:id="rId9"/>
    <sheet name="D_T03" sheetId="27" r:id="rId10"/>
    <sheet name="V_M01" sheetId="13" r:id="rId11"/>
    <sheet name="UA_M01" sheetId="12" r:id="rId12"/>
    <sheet name="D_M01" sheetId="11" r:id="rId13"/>
    <sheet name="V_M02" sheetId="16" r:id="rId14"/>
    <sheet name="UA_M02" sheetId="15" r:id="rId15"/>
    <sheet name="D_M02" sheetId="14" r:id="rId16"/>
    <sheet name="V_M03" sheetId="7" r:id="rId17"/>
    <sheet name="UA_M03" sheetId="8" r:id="rId18"/>
    <sheet name="D_M03" sheetId="10" r:id="rId19"/>
    <sheet name="Selections" sheetId="2" r:id="rId20"/>
  </sheets>
  <definedNames>
    <definedName name="AirHandler">Selections!$O$5:$O$8</definedName>
    <definedName name="Ceiling">Selections!$D$5:$D$7</definedName>
    <definedName name="Complies">Selections!$C$12:$C$13</definedName>
    <definedName name="Cooling">Selections!$K$5:$K$7</definedName>
    <definedName name="Door">Selections!$H$5:$H$7</definedName>
    <definedName name="DuctTightness">Selections!$N$5:$N$7</definedName>
    <definedName name="Floor">Selections!$B$5:$B$7</definedName>
    <definedName name="Heating">Selections!$J$5:$J$8</definedName>
    <definedName name="HotWaterCirculation">Selections!$S$5:$S$7</definedName>
    <definedName name="HotWaterLines">Selections!$R$5:$R$7</definedName>
    <definedName name="HotWaterSystem">Selections!$Q$5:$Q$7</definedName>
    <definedName name="Infiltration">Selections!$I$5:$I$7</definedName>
    <definedName name="Lighting">Selections!$T$5:$T$7</definedName>
    <definedName name="MechanicalVent">Selections!$P$5:$P$8</definedName>
    <definedName name="OverallFenSHGC">Selections!$W$5:$W$6</definedName>
    <definedName name="OverallFenU">Selections!$V$5:$V$6</definedName>
    <definedName name="PoolandSpa">Selections!$U$5:$U$8</definedName>
    <definedName name="_xlnm.Print_Area" localSheetId="14">UA_M02!$A$1:$T$158</definedName>
    <definedName name="_xlnm.Print_Area" localSheetId="10">V_M01!$A$1:$F$143</definedName>
    <definedName name="_xlnm.Print_Area" localSheetId="13">V_M02!$A$1:$F$143</definedName>
    <definedName name="_xlnm.Print_Area" localSheetId="16">V_M03!$A$1:$F$143</definedName>
    <definedName name="_xlnm.Print_Area" localSheetId="1">V_T01!$A$1:$F$143</definedName>
    <definedName name="_xlnm.Print_Area" localSheetId="4">V_T02!$A$1:$F$143</definedName>
    <definedName name="_xlnm.Print_Area" localSheetId="7">V_T03!$A$1:$F$143</definedName>
    <definedName name="ReturnDucts">Selections!$M$5:$M$7</definedName>
    <definedName name="Roof">Selections!$C$5:$C$8</definedName>
    <definedName name="Skylight">Selections!$E$5:$E$7</definedName>
    <definedName name="SupplyDucts">Selections!$L$5:$L$7</definedName>
    <definedName name="TotalUA">Selections!$X$5:$X$7</definedName>
    <definedName name="UCalcMethod">Selections!$B$12:$B$15</definedName>
    <definedName name="Wall">Selections!$F$5:$F$7</definedName>
    <definedName name="Window">Selections!$G$5:$G$8</definedName>
  </definedNames>
  <calcPr calcId="152511"/>
</workbook>
</file>

<file path=xl/calcChain.xml><?xml version="1.0" encoding="utf-8"?>
<calcChain xmlns="http://schemas.openxmlformats.org/spreadsheetml/2006/main">
  <c r="F89" i="7" l="1"/>
  <c r="K18" i="8"/>
  <c r="K11" i="8"/>
  <c r="F123" i="16"/>
  <c r="F139" i="16"/>
  <c r="F89" i="16"/>
  <c r="F76" i="16"/>
  <c r="F71" i="16"/>
  <c r="F67" i="16"/>
  <c r="F65" i="16"/>
  <c r="F62" i="16"/>
  <c r="D29" i="16"/>
  <c r="D24" i="16"/>
  <c r="D20" i="16"/>
  <c r="D18" i="16"/>
  <c r="D15" i="16"/>
  <c r="F140" i="13"/>
  <c r="F89" i="13"/>
  <c r="D46" i="13"/>
  <c r="K18" i="12"/>
  <c r="K11" i="12"/>
  <c r="D29" i="13"/>
  <c r="F76" i="13"/>
  <c r="F123" i="13"/>
  <c r="F137" i="30"/>
  <c r="F123" i="30"/>
  <c r="F90" i="30"/>
  <c r="F76" i="30"/>
  <c r="F60" i="30"/>
  <c r="D13" i="30"/>
  <c r="F123" i="26"/>
  <c r="F76" i="26"/>
  <c r="D46" i="26"/>
  <c r="D29" i="26"/>
  <c r="F140" i="23"/>
  <c r="F90" i="26"/>
  <c r="F89" i="26"/>
  <c r="F137" i="26" l="1"/>
  <c r="F89" i="23"/>
  <c r="F108" i="30" l="1"/>
  <c r="F108" i="26"/>
  <c r="F108" i="23"/>
  <c r="F116" i="7" l="1"/>
  <c r="F108" i="13"/>
  <c r="F108" i="16"/>
  <c r="F108" i="7"/>
  <c r="D45" i="7"/>
  <c r="D44" i="7"/>
  <c r="D45" i="16"/>
  <c r="D44" i="16"/>
  <c r="D45" i="13"/>
  <c r="D44" i="13"/>
  <c r="D45" i="26"/>
  <c r="D44" i="26"/>
  <c r="D45" i="23"/>
  <c r="D44" i="23"/>
  <c r="D45" i="30"/>
  <c r="D44" i="30"/>
  <c r="D41" i="30"/>
  <c r="D41" i="26"/>
  <c r="D41" i="23"/>
  <c r="D41" i="7"/>
  <c r="D41" i="16"/>
  <c r="D41" i="13"/>
  <c r="C105" i="21" l="1"/>
  <c r="D25" i="7" l="1"/>
  <c r="D25" i="16"/>
  <c r="D25" i="13"/>
  <c r="D25" i="26"/>
  <c r="D25" i="30"/>
  <c r="E64" i="29" l="1"/>
  <c r="D64" i="29"/>
  <c r="C64" i="29"/>
  <c r="E65" i="29"/>
  <c r="E66" i="29"/>
  <c r="E68" i="29"/>
  <c r="E69" i="29"/>
  <c r="D65" i="29"/>
  <c r="D68" i="29"/>
  <c r="D69" i="29"/>
  <c r="C62" i="29"/>
  <c r="C65" i="29"/>
  <c r="C66" i="29"/>
  <c r="C68" i="29"/>
  <c r="C69" i="29"/>
  <c r="C68" i="27" l="1"/>
  <c r="C72" i="27"/>
  <c r="D67" i="29" s="1"/>
  <c r="B68" i="27" l="1"/>
  <c r="C63" i="29" s="1"/>
  <c r="D63" i="29"/>
  <c r="E63" i="29"/>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D115" i="30"/>
  <c r="B115" i="30"/>
  <c r="B114" i="30"/>
  <c r="B113" i="30"/>
  <c r="B112" i="30"/>
  <c r="D111" i="30"/>
  <c r="B111" i="30"/>
  <c r="D110" i="30"/>
  <c r="B110" i="30"/>
  <c r="B109" i="30"/>
  <c r="D108" i="30"/>
  <c r="B108" i="30"/>
  <c r="B107" i="30"/>
  <c r="B106" i="30"/>
  <c r="B105" i="30"/>
  <c r="B103"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D68" i="30"/>
  <c r="B68" i="30"/>
  <c r="B67" i="30"/>
  <c r="B66" i="30"/>
  <c r="B65" i="30"/>
  <c r="D64" i="30"/>
  <c r="B64" i="30"/>
  <c r="D63" i="30"/>
  <c r="B63" i="30"/>
  <c r="B62" i="30"/>
  <c r="D61" i="30"/>
  <c r="B61" i="30"/>
  <c r="B60" i="30"/>
  <c r="B59" i="30"/>
  <c r="B58" i="30"/>
  <c r="B56"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11" i="30"/>
  <c r="B9" i="30"/>
  <c r="B5" i="30"/>
  <c r="B4" i="30"/>
  <c r="F140" i="30"/>
  <c r="H140" i="30" s="1"/>
  <c r="F139" i="30"/>
  <c r="H139" i="30" s="1"/>
  <c r="H137" i="30"/>
  <c r="H136" i="30"/>
  <c r="H133" i="30"/>
  <c r="F132" i="30"/>
  <c r="H132" i="30" s="1"/>
  <c r="F131" i="30"/>
  <c r="H131" i="30" s="1"/>
  <c r="H130" i="30"/>
  <c r="F130" i="30"/>
  <c r="F129" i="30"/>
  <c r="H129" i="30" s="1"/>
  <c r="F128" i="30"/>
  <c r="H128" i="30" s="1"/>
  <c r="F127" i="30"/>
  <c r="H127" i="30" s="1"/>
  <c r="F126" i="30"/>
  <c r="H126" i="30" s="1"/>
  <c r="F125" i="30"/>
  <c r="H125" i="30" s="1"/>
  <c r="F124" i="30"/>
  <c r="H124" i="30" s="1"/>
  <c r="H123" i="30"/>
  <c r="H122" i="30"/>
  <c r="F122" i="30"/>
  <c r="F121" i="30"/>
  <c r="H121" i="30" s="1"/>
  <c r="F120" i="30"/>
  <c r="H120" i="30" s="1"/>
  <c r="H119" i="30"/>
  <c r="H118" i="30"/>
  <c r="H117" i="30"/>
  <c r="H116" i="30"/>
  <c r="H115" i="30"/>
  <c r="H114" i="30"/>
  <c r="H113" i="30"/>
  <c r="H112" i="30"/>
  <c r="H111" i="30"/>
  <c r="H110" i="30"/>
  <c r="H109" i="30"/>
  <c r="H108" i="30"/>
  <c r="H107" i="30"/>
  <c r="H106" i="30"/>
  <c r="H105" i="30"/>
  <c r="D99" i="30"/>
  <c r="F93" i="30"/>
  <c r="H93" i="30" s="1"/>
  <c r="H92" i="30"/>
  <c r="H91" i="30"/>
  <c r="H90" i="30"/>
  <c r="F89" i="30"/>
  <c r="H89" i="30" s="1"/>
  <c r="H88" i="30"/>
  <c r="H85" i="30"/>
  <c r="F85" i="30"/>
  <c r="F84" i="30"/>
  <c r="H84" i="30" s="1"/>
  <c r="F83" i="30"/>
  <c r="H83" i="30" s="1"/>
  <c r="H82" i="30"/>
  <c r="F82" i="30"/>
  <c r="F81" i="30"/>
  <c r="H81" i="30" s="1"/>
  <c r="F80" i="30"/>
  <c r="H80" i="30" s="1"/>
  <c r="F79" i="30"/>
  <c r="H79" i="30" s="1"/>
  <c r="F78" i="30"/>
  <c r="H78" i="30" s="1"/>
  <c r="H77" i="30"/>
  <c r="F77" i="30"/>
  <c r="H76" i="30"/>
  <c r="F75" i="30"/>
  <c r="H75" i="30" s="1"/>
  <c r="H74" i="30"/>
  <c r="F74" i="30"/>
  <c r="F73" i="30"/>
  <c r="H73" i="30" s="1"/>
  <c r="H72" i="30"/>
  <c r="F71" i="30"/>
  <c r="H71" i="30" s="1"/>
  <c r="H70" i="30"/>
  <c r="F69" i="30"/>
  <c r="H69" i="30" s="1"/>
  <c r="H68" i="30"/>
  <c r="F67" i="30"/>
  <c r="H67" i="30" s="1"/>
  <c r="H66" i="30"/>
  <c r="H65" i="30"/>
  <c r="F65" i="30"/>
  <c r="H64" i="30"/>
  <c r="H63" i="30"/>
  <c r="H62" i="30"/>
  <c r="F62" i="30"/>
  <c r="F61" i="30"/>
  <c r="H61" i="30" s="1"/>
  <c r="H60" i="30"/>
  <c r="F59" i="30"/>
  <c r="H59" i="30" s="1"/>
  <c r="F58" i="30"/>
  <c r="H58" i="30" s="1"/>
  <c r="D52" i="30"/>
  <c r="D46" i="30"/>
  <c r="H46" i="30" s="1"/>
  <c r="H45" i="30"/>
  <c r="H44" i="30"/>
  <c r="D43" i="30"/>
  <c r="H43" i="30" s="1"/>
  <c r="D42" i="30"/>
  <c r="H42" i="30" s="1"/>
  <c r="H41" i="30"/>
  <c r="D38" i="30"/>
  <c r="H38" i="30" s="1"/>
  <c r="D37" i="30"/>
  <c r="H37" i="30" s="1"/>
  <c r="D36" i="30"/>
  <c r="H36" i="30" s="1"/>
  <c r="D35" i="30"/>
  <c r="H35" i="30" s="1"/>
  <c r="D34" i="30"/>
  <c r="H34" i="30" s="1"/>
  <c r="D33" i="30"/>
  <c r="H33" i="30" s="1"/>
  <c r="D32" i="30"/>
  <c r="H32" i="30" s="1"/>
  <c r="D31" i="30"/>
  <c r="H31" i="30" s="1"/>
  <c r="D30" i="30"/>
  <c r="H30" i="30" s="1"/>
  <c r="D29" i="30"/>
  <c r="H29" i="30" s="1"/>
  <c r="D28" i="30"/>
  <c r="H28" i="30" s="1"/>
  <c r="D27" i="30"/>
  <c r="H27" i="30" s="1"/>
  <c r="D26" i="30"/>
  <c r="H26" i="30" s="1"/>
  <c r="H25" i="30"/>
  <c r="D24" i="30"/>
  <c r="H24" i="30" s="1"/>
  <c r="H23" i="30"/>
  <c r="H22" i="30"/>
  <c r="D22" i="30"/>
  <c r="H21" i="30"/>
  <c r="D20" i="30"/>
  <c r="H20" i="30" s="1"/>
  <c r="H19" i="30"/>
  <c r="D18" i="30"/>
  <c r="H18" i="30" s="1"/>
  <c r="H17" i="30"/>
  <c r="H16" i="30"/>
  <c r="D15" i="30"/>
  <c r="H15" i="30" s="1"/>
  <c r="D14" i="30"/>
  <c r="H14" i="30" s="1"/>
  <c r="H13" i="30"/>
  <c r="D12" i="30"/>
  <c r="H12" i="30" s="1"/>
  <c r="D11" i="30"/>
  <c r="H11" i="30" s="1"/>
  <c r="D3" i="30"/>
  <c r="I21" i="29"/>
  <c r="I12" i="29"/>
  <c r="I17" i="29"/>
  <c r="I15" i="29"/>
  <c r="E61" i="29"/>
  <c r="D61" i="29"/>
  <c r="C61" i="29"/>
  <c r="E50" i="29"/>
  <c r="D50" i="29"/>
  <c r="C50" i="29"/>
  <c r="E49" i="29"/>
  <c r="D49" i="29"/>
  <c r="C49" i="29"/>
  <c r="E48" i="29"/>
  <c r="C48" i="29"/>
  <c r="E46" i="29"/>
  <c r="D46" i="29"/>
  <c r="C46" i="29"/>
  <c r="E45" i="29"/>
  <c r="D45" i="29"/>
  <c r="E22" i="29"/>
  <c r="L22" i="29" s="1"/>
  <c r="C22" i="29"/>
  <c r="C21" i="29"/>
  <c r="E20" i="29"/>
  <c r="K20" i="29" s="1"/>
  <c r="C20" i="29"/>
  <c r="C19" i="29"/>
  <c r="E18" i="29"/>
  <c r="F18" i="29" s="1"/>
  <c r="C18" i="29"/>
  <c r="C17" i="29"/>
  <c r="E16" i="29"/>
  <c r="K16" i="29" s="1"/>
  <c r="C16" i="29"/>
  <c r="C15" i="29"/>
  <c r="Q14" i="29"/>
  <c r="S14" i="29" s="1"/>
  <c r="G14" i="29"/>
  <c r="E14" i="29"/>
  <c r="F14" i="29" s="1"/>
  <c r="C14" i="29"/>
  <c r="Q13" i="29"/>
  <c r="S13" i="29" s="1"/>
  <c r="G13" i="29"/>
  <c r="O13" i="29" s="1"/>
  <c r="E13" i="29"/>
  <c r="F13" i="29" s="1"/>
  <c r="C13" i="29"/>
  <c r="C12" i="29"/>
  <c r="Q11" i="29"/>
  <c r="S11" i="29" s="1"/>
  <c r="G11" i="29"/>
  <c r="M11" i="29" s="1"/>
  <c r="E11" i="29"/>
  <c r="K11" i="29" s="1"/>
  <c r="C11" i="29"/>
  <c r="E10" i="29"/>
  <c r="C10" i="29"/>
  <c r="C9" i="29"/>
  <c r="C8" i="29"/>
  <c r="B3" i="29"/>
  <c r="B2" i="29"/>
  <c r="D28" i="29"/>
  <c r="C28" i="29"/>
  <c r="D27" i="29"/>
  <c r="C27" i="29"/>
  <c r="D26" i="29"/>
  <c r="C26" i="29"/>
  <c r="I22" i="29"/>
  <c r="I20" i="29"/>
  <c r="I19" i="29"/>
  <c r="I18" i="29"/>
  <c r="I16" i="29"/>
  <c r="I14" i="29"/>
  <c r="I13" i="29"/>
  <c r="I11" i="29"/>
  <c r="I10" i="29"/>
  <c r="T7" i="29"/>
  <c r="S7" i="29"/>
  <c r="R7" i="29"/>
  <c r="Q7" i="29"/>
  <c r="P7" i="29"/>
  <c r="O7" i="29"/>
  <c r="N7" i="29"/>
  <c r="M7" i="29"/>
  <c r="L7" i="29"/>
  <c r="K7" i="29"/>
  <c r="J7" i="29"/>
  <c r="I7" i="29"/>
  <c r="H7" i="29"/>
  <c r="G7" i="29"/>
  <c r="F7" i="29"/>
  <c r="E7" i="29"/>
  <c r="D7" i="29"/>
  <c r="C7" i="29"/>
  <c r="S6" i="29"/>
  <c r="Q6" i="29"/>
  <c r="O6" i="29"/>
  <c r="M6" i="29"/>
  <c r="K6" i="29"/>
  <c r="I6" i="29"/>
  <c r="G6" i="29"/>
  <c r="D6" i="29"/>
  <c r="S5" i="29"/>
  <c r="Q5" i="29"/>
  <c r="O5" i="29"/>
  <c r="M5" i="29"/>
  <c r="K5" i="29"/>
  <c r="F19" i="27"/>
  <c r="E19" i="27"/>
  <c r="B72" i="27" s="1"/>
  <c r="C67" i="29" s="1"/>
  <c r="F21" i="27"/>
  <c r="F17" i="27"/>
  <c r="F15" i="27"/>
  <c r="C67" i="27"/>
  <c r="C62" i="27"/>
  <c r="D60" i="29" s="1"/>
  <c r="C54" i="27"/>
  <c r="B54" i="27" s="1"/>
  <c r="C47" i="29" s="1"/>
  <c r="E34" i="27"/>
  <c r="F22" i="27"/>
  <c r="Q22" i="29" s="1"/>
  <c r="S22" i="29" s="1"/>
  <c r="E22" i="27"/>
  <c r="G22" i="29" s="1"/>
  <c r="M22" i="29" s="1"/>
  <c r="G21" i="27"/>
  <c r="E21" i="29" s="1"/>
  <c r="E21" i="27"/>
  <c r="F20" i="27"/>
  <c r="Q20" i="29" s="1"/>
  <c r="S20" i="29" s="1"/>
  <c r="E20" i="27"/>
  <c r="G20" i="29" s="1"/>
  <c r="M20" i="29" s="1"/>
  <c r="G19" i="27"/>
  <c r="E19" i="29" s="1"/>
  <c r="Q18" i="29"/>
  <c r="S18" i="29" s="1"/>
  <c r="G18" i="29"/>
  <c r="G17" i="27"/>
  <c r="E17" i="29" s="1"/>
  <c r="E17" i="27"/>
  <c r="F16" i="27"/>
  <c r="Q16" i="29" s="1"/>
  <c r="S16" i="29" s="1"/>
  <c r="E16" i="27"/>
  <c r="G16" i="29" s="1"/>
  <c r="M16" i="29" s="1"/>
  <c r="G15" i="27"/>
  <c r="E15" i="29" s="1"/>
  <c r="E15" i="27"/>
  <c r="G12" i="27"/>
  <c r="E12" i="29" s="1"/>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D115" i="26"/>
  <c r="B115" i="26"/>
  <c r="B114" i="26"/>
  <c r="D113" i="26"/>
  <c r="B113" i="26"/>
  <c r="B112" i="26"/>
  <c r="D111" i="26"/>
  <c r="B111" i="26"/>
  <c r="D110" i="26"/>
  <c r="B110" i="26"/>
  <c r="B109" i="26"/>
  <c r="D108" i="26"/>
  <c r="B108" i="26"/>
  <c r="B107" i="26"/>
  <c r="B106" i="26"/>
  <c r="B105" i="26"/>
  <c r="B103"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D68" i="26"/>
  <c r="B68" i="26"/>
  <c r="B67" i="26"/>
  <c r="D66" i="26"/>
  <c r="B66" i="26"/>
  <c r="B65" i="26"/>
  <c r="D64" i="26"/>
  <c r="B64" i="26"/>
  <c r="D63" i="26"/>
  <c r="B63" i="26"/>
  <c r="B62" i="26"/>
  <c r="D61" i="26"/>
  <c r="B61" i="26"/>
  <c r="B60" i="26"/>
  <c r="B59" i="26"/>
  <c r="B58" i="26"/>
  <c r="B56"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9" i="26"/>
  <c r="B5" i="26"/>
  <c r="B4" i="26"/>
  <c r="F140" i="26"/>
  <c r="H140" i="26" s="1"/>
  <c r="F139" i="26"/>
  <c r="H139" i="26" s="1"/>
  <c r="H137" i="26"/>
  <c r="H136" i="26"/>
  <c r="H133" i="26"/>
  <c r="F132" i="26"/>
  <c r="H132" i="26" s="1"/>
  <c r="F131" i="26"/>
  <c r="H131" i="26" s="1"/>
  <c r="H130" i="26"/>
  <c r="F130" i="26"/>
  <c r="F129" i="26"/>
  <c r="H129" i="26" s="1"/>
  <c r="F128" i="26"/>
  <c r="H128" i="26" s="1"/>
  <c r="F127" i="26"/>
  <c r="H127" i="26" s="1"/>
  <c r="H126" i="26"/>
  <c r="F126" i="26"/>
  <c r="F125" i="26"/>
  <c r="H125" i="26" s="1"/>
  <c r="F124" i="26"/>
  <c r="H124" i="26" s="1"/>
  <c r="H123" i="26"/>
  <c r="H122" i="26"/>
  <c r="F122" i="26"/>
  <c r="F121" i="26"/>
  <c r="H121" i="26" s="1"/>
  <c r="F120" i="26"/>
  <c r="H120" i="26" s="1"/>
  <c r="H119" i="26"/>
  <c r="H118" i="26"/>
  <c r="H117" i="26"/>
  <c r="H116" i="26"/>
  <c r="H115" i="26"/>
  <c r="H114" i="26"/>
  <c r="H113" i="26"/>
  <c r="H112" i="26"/>
  <c r="H111" i="26"/>
  <c r="H110" i="26"/>
  <c r="H109" i="26"/>
  <c r="H108" i="26"/>
  <c r="H107" i="26"/>
  <c r="H106" i="26"/>
  <c r="H105" i="26"/>
  <c r="D99" i="26"/>
  <c r="F93" i="26"/>
  <c r="H93" i="26" s="1"/>
  <c r="H92" i="26"/>
  <c r="H91" i="26"/>
  <c r="H90" i="26"/>
  <c r="H89" i="26"/>
  <c r="H88" i="26"/>
  <c r="H85" i="26"/>
  <c r="F85" i="26"/>
  <c r="F84" i="26"/>
  <c r="H84" i="26" s="1"/>
  <c r="F83" i="26"/>
  <c r="H83" i="26" s="1"/>
  <c r="H82" i="26"/>
  <c r="F82" i="26"/>
  <c r="H81" i="26"/>
  <c r="F81" i="26"/>
  <c r="F80" i="26"/>
  <c r="H80" i="26" s="1"/>
  <c r="F79" i="26"/>
  <c r="H79" i="26" s="1"/>
  <c r="H78" i="26"/>
  <c r="F78" i="26"/>
  <c r="H77" i="26"/>
  <c r="F77" i="26"/>
  <c r="H76" i="26"/>
  <c r="F75" i="26"/>
  <c r="H75" i="26" s="1"/>
  <c r="H74" i="26"/>
  <c r="F74" i="26"/>
  <c r="H73" i="26"/>
  <c r="F73" i="26"/>
  <c r="H72" i="26"/>
  <c r="F71" i="26"/>
  <c r="H71" i="26" s="1"/>
  <c r="H70" i="26"/>
  <c r="F69" i="26"/>
  <c r="H69" i="26" s="1"/>
  <c r="H68" i="26"/>
  <c r="F67" i="26"/>
  <c r="H67" i="26" s="1"/>
  <c r="H66" i="26"/>
  <c r="H65" i="26"/>
  <c r="F65" i="26"/>
  <c r="H64" i="26"/>
  <c r="H63" i="26"/>
  <c r="H62" i="26"/>
  <c r="F62" i="26"/>
  <c r="H61" i="26"/>
  <c r="F61" i="26"/>
  <c r="H60" i="26"/>
  <c r="F60" i="26"/>
  <c r="H59" i="26"/>
  <c r="F59" i="26"/>
  <c r="F58" i="26"/>
  <c r="H58" i="26" s="1"/>
  <c r="D52" i="26"/>
  <c r="H46" i="26"/>
  <c r="H45" i="26"/>
  <c r="H44" i="26"/>
  <c r="D43" i="26"/>
  <c r="H43" i="26" s="1"/>
  <c r="D42" i="26"/>
  <c r="H42" i="26" s="1"/>
  <c r="H41" i="26"/>
  <c r="H38" i="26"/>
  <c r="D38" i="26"/>
  <c r="H37" i="26"/>
  <c r="D37" i="26"/>
  <c r="H36" i="26"/>
  <c r="D36" i="26"/>
  <c r="D35" i="26"/>
  <c r="H35" i="26" s="1"/>
  <c r="D34" i="26"/>
  <c r="H34" i="26" s="1"/>
  <c r="D33" i="26"/>
  <c r="H33" i="26" s="1"/>
  <c r="D32" i="26"/>
  <c r="H32" i="26" s="1"/>
  <c r="D31" i="26"/>
  <c r="H31" i="26" s="1"/>
  <c r="H30" i="26"/>
  <c r="D30" i="26"/>
  <c r="H29" i="26"/>
  <c r="H28" i="26"/>
  <c r="D28" i="26"/>
  <c r="D27" i="26"/>
  <c r="H27" i="26" s="1"/>
  <c r="D26" i="26"/>
  <c r="H26" i="26" s="1"/>
  <c r="H25" i="26"/>
  <c r="H24" i="26"/>
  <c r="D24" i="26"/>
  <c r="H23" i="26"/>
  <c r="D22" i="26"/>
  <c r="H22" i="26" s="1"/>
  <c r="H21" i="26"/>
  <c r="H20" i="26"/>
  <c r="D20" i="26"/>
  <c r="H19" i="26"/>
  <c r="D18" i="26"/>
  <c r="H18" i="26" s="1"/>
  <c r="H17" i="26"/>
  <c r="H16" i="26"/>
  <c r="H15" i="26"/>
  <c r="D15" i="26"/>
  <c r="H14" i="26"/>
  <c r="D14" i="26"/>
  <c r="H13" i="26"/>
  <c r="D13" i="26"/>
  <c r="D12" i="26"/>
  <c r="H12" i="26" s="1"/>
  <c r="D11" i="26"/>
  <c r="H11" i="26" s="1"/>
  <c r="D3" i="26"/>
  <c r="I14" i="25"/>
  <c r="I16" i="25"/>
  <c r="I18" i="25"/>
  <c r="I22" i="25"/>
  <c r="I20" i="25"/>
  <c r="E83" i="25"/>
  <c r="D83" i="25"/>
  <c r="C83" i="25"/>
  <c r="E82" i="25"/>
  <c r="D82" i="25"/>
  <c r="C82" i="25"/>
  <c r="E80" i="25"/>
  <c r="C80" i="25"/>
  <c r="E79" i="25"/>
  <c r="D79" i="25"/>
  <c r="C79" i="25"/>
  <c r="C78" i="25"/>
  <c r="E77" i="25"/>
  <c r="D77" i="25"/>
  <c r="C77" i="25"/>
  <c r="D69" i="25"/>
  <c r="C69" i="25"/>
  <c r="D68" i="25"/>
  <c r="C68" i="25"/>
  <c r="D67" i="25"/>
  <c r="C67" i="25"/>
  <c r="C66" i="25"/>
  <c r="C65" i="25"/>
  <c r="D64" i="25"/>
  <c r="C64" i="25"/>
  <c r="D63" i="25"/>
  <c r="C63" i="25"/>
  <c r="D62" i="25"/>
  <c r="C62" i="25"/>
  <c r="E52" i="25"/>
  <c r="D52" i="25"/>
  <c r="C52" i="25"/>
  <c r="E51" i="25"/>
  <c r="D51" i="25"/>
  <c r="C51" i="25"/>
  <c r="E50" i="25"/>
  <c r="C50" i="25"/>
  <c r="E48" i="25"/>
  <c r="D48" i="25"/>
  <c r="C48" i="25"/>
  <c r="E47" i="25"/>
  <c r="D47" i="25"/>
  <c r="G22" i="25"/>
  <c r="M22" i="25" s="1"/>
  <c r="E22" i="25"/>
  <c r="C22" i="25"/>
  <c r="C21" i="25"/>
  <c r="E20" i="25"/>
  <c r="K20" i="25" s="1"/>
  <c r="C20" i="25"/>
  <c r="C19" i="25"/>
  <c r="Q18" i="25"/>
  <c r="S18" i="25" s="1"/>
  <c r="G18" i="25"/>
  <c r="M18" i="25" s="1"/>
  <c r="E18" i="25"/>
  <c r="L18" i="25" s="1"/>
  <c r="C18" i="25"/>
  <c r="C17" i="25"/>
  <c r="Q16" i="25"/>
  <c r="G16" i="25"/>
  <c r="E16" i="25"/>
  <c r="L16" i="25" s="1"/>
  <c r="C16" i="25"/>
  <c r="C15" i="25"/>
  <c r="Q14" i="25"/>
  <c r="S14" i="25" s="1"/>
  <c r="G14" i="25"/>
  <c r="M14" i="25" s="1"/>
  <c r="E14" i="25"/>
  <c r="K14" i="25" s="1"/>
  <c r="C14" i="25"/>
  <c r="Q13" i="25"/>
  <c r="S13" i="25" s="1"/>
  <c r="G13" i="25"/>
  <c r="O13" i="25" s="1"/>
  <c r="E13" i="25"/>
  <c r="K13" i="25" s="1"/>
  <c r="C13" i="25"/>
  <c r="C12" i="25"/>
  <c r="Q11" i="25"/>
  <c r="S11" i="25" s="1"/>
  <c r="G11" i="25"/>
  <c r="M11" i="25" s="1"/>
  <c r="E11" i="25"/>
  <c r="C11" i="25"/>
  <c r="E10" i="25"/>
  <c r="C10" i="25"/>
  <c r="C9" i="25"/>
  <c r="C8" i="25"/>
  <c r="B3" i="25"/>
  <c r="B2" i="25"/>
  <c r="D28" i="25"/>
  <c r="C28" i="25"/>
  <c r="D27" i="25"/>
  <c r="C27" i="25"/>
  <c r="D26" i="25"/>
  <c r="C26" i="25"/>
  <c r="L22" i="25"/>
  <c r="K22" i="25"/>
  <c r="F22" i="25"/>
  <c r="I21" i="25"/>
  <c r="L20" i="25"/>
  <c r="I19" i="25"/>
  <c r="K18" i="25"/>
  <c r="I17" i="25"/>
  <c r="S16" i="25"/>
  <c r="M16" i="25"/>
  <c r="I15" i="25"/>
  <c r="L14" i="25"/>
  <c r="F14" i="25"/>
  <c r="L13" i="25"/>
  <c r="I13" i="25"/>
  <c r="I12" i="25"/>
  <c r="I11" i="25"/>
  <c r="I10" i="25"/>
  <c r="T7" i="25"/>
  <c r="S7" i="25"/>
  <c r="R7" i="25"/>
  <c r="Q7" i="25"/>
  <c r="P7" i="25"/>
  <c r="O7" i="25"/>
  <c r="N7" i="25"/>
  <c r="M7" i="25"/>
  <c r="L7" i="25"/>
  <c r="K7" i="25"/>
  <c r="J7" i="25"/>
  <c r="I7" i="25"/>
  <c r="H7" i="25"/>
  <c r="G7" i="25"/>
  <c r="F7" i="25"/>
  <c r="E7" i="25"/>
  <c r="D7" i="25"/>
  <c r="C7" i="25"/>
  <c r="S6" i="25"/>
  <c r="Q6" i="25"/>
  <c r="O6" i="25"/>
  <c r="M6" i="25"/>
  <c r="K6" i="25"/>
  <c r="I6" i="25"/>
  <c r="G6" i="25"/>
  <c r="D6" i="25"/>
  <c r="S5" i="25"/>
  <c r="Q5" i="25"/>
  <c r="O5" i="25"/>
  <c r="M5" i="25"/>
  <c r="K5" i="25"/>
  <c r="F22" i="24"/>
  <c r="Q22" i="25" s="1"/>
  <c r="S22" i="25" s="1"/>
  <c r="E22" i="24"/>
  <c r="D119" i="26" s="1"/>
  <c r="F20" i="24"/>
  <c r="Q20" i="25" s="1"/>
  <c r="S20" i="25" s="1"/>
  <c r="E20" i="24"/>
  <c r="G20" i="25" s="1"/>
  <c r="M20" i="25" s="1"/>
  <c r="C105" i="24"/>
  <c r="C104" i="24"/>
  <c r="C103" i="24"/>
  <c r="C102" i="24"/>
  <c r="C101" i="24"/>
  <c r="C84" i="24"/>
  <c r="B84" i="24" s="1"/>
  <c r="C81" i="25" s="1"/>
  <c r="C81" i="24"/>
  <c r="E78" i="25" s="1"/>
  <c r="E84" i="25" s="1"/>
  <c r="E85" i="25" s="1"/>
  <c r="C76" i="24"/>
  <c r="E76" i="25" s="1"/>
  <c r="C68" i="24"/>
  <c r="B68" i="24" s="1"/>
  <c r="C65" i="24"/>
  <c r="C54" i="24"/>
  <c r="B54" i="24" s="1"/>
  <c r="C49" i="25" s="1"/>
  <c r="E34" i="24"/>
  <c r="G21" i="24"/>
  <c r="E21" i="25" s="1"/>
  <c r="F21" i="25" s="1"/>
  <c r="E21" i="24"/>
  <c r="G19" i="24"/>
  <c r="E19" i="25" s="1"/>
  <c r="G17" i="24"/>
  <c r="E17" i="25" s="1"/>
  <c r="E17" i="24"/>
  <c r="G15" i="24"/>
  <c r="E15" i="25" s="1"/>
  <c r="E15" i="24"/>
  <c r="G12" i="24"/>
  <c r="E12" i="25" s="1"/>
  <c r="B140" i="23"/>
  <c r="B139" i="23"/>
  <c r="B138" i="23"/>
  <c r="B137" i="23"/>
  <c r="B136" i="23"/>
  <c r="B135" i="23"/>
  <c r="B134" i="23"/>
  <c r="B133" i="23"/>
  <c r="B132" i="23"/>
  <c r="B131" i="23"/>
  <c r="B130" i="23"/>
  <c r="B129" i="23"/>
  <c r="B128" i="23"/>
  <c r="B127" i="23"/>
  <c r="B126" i="23"/>
  <c r="B125" i="23"/>
  <c r="B124" i="23"/>
  <c r="B123" i="23"/>
  <c r="B122" i="23"/>
  <c r="B121" i="23"/>
  <c r="B120" i="23"/>
  <c r="B119" i="23"/>
  <c r="B118" i="23"/>
  <c r="B117" i="23"/>
  <c r="B116" i="23"/>
  <c r="B115" i="23"/>
  <c r="B114" i="23"/>
  <c r="B113" i="23"/>
  <c r="B112" i="23"/>
  <c r="D111" i="23"/>
  <c r="B111" i="23"/>
  <c r="D110" i="23"/>
  <c r="B110" i="23"/>
  <c r="B109" i="23"/>
  <c r="D108" i="23"/>
  <c r="B108" i="23"/>
  <c r="B107" i="23"/>
  <c r="B106" i="23"/>
  <c r="B105" i="23"/>
  <c r="B103" i="23"/>
  <c r="B93" i="23"/>
  <c r="B92" i="23"/>
  <c r="B91" i="23"/>
  <c r="B90" i="23"/>
  <c r="B89" i="23"/>
  <c r="B88" i="23"/>
  <c r="B87" i="23"/>
  <c r="B86" i="23"/>
  <c r="B85" i="23"/>
  <c r="B84" i="23"/>
  <c r="B83" i="23"/>
  <c r="B82" i="23"/>
  <c r="B81" i="23"/>
  <c r="B80" i="23"/>
  <c r="B79" i="23"/>
  <c r="B78" i="23"/>
  <c r="B77" i="23"/>
  <c r="B76" i="23"/>
  <c r="B75" i="23"/>
  <c r="B74" i="23"/>
  <c r="B73" i="23"/>
  <c r="B72" i="23"/>
  <c r="B71" i="23"/>
  <c r="D70" i="23"/>
  <c r="B70" i="23"/>
  <c r="B69" i="23"/>
  <c r="B68" i="23"/>
  <c r="B67" i="23"/>
  <c r="B66" i="23"/>
  <c r="B65" i="23"/>
  <c r="D64" i="23"/>
  <c r="B64" i="23"/>
  <c r="D63" i="23"/>
  <c r="B63" i="23"/>
  <c r="B62" i="23"/>
  <c r="D61" i="23"/>
  <c r="B61" i="23"/>
  <c r="B60" i="23"/>
  <c r="B59" i="23"/>
  <c r="B58" i="23"/>
  <c r="B56"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9" i="23"/>
  <c r="B5" i="23"/>
  <c r="B4" i="23"/>
  <c r="H140" i="23"/>
  <c r="F139" i="23"/>
  <c r="H139" i="23" s="1"/>
  <c r="F137" i="23"/>
  <c r="H137" i="23" s="1"/>
  <c r="H136" i="23"/>
  <c r="H133" i="23"/>
  <c r="F132" i="23"/>
  <c r="H132" i="23" s="1"/>
  <c r="F131" i="23"/>
  <c r="H131" i="23" s="1"/>
  <c r="H130" i="23"/>
  <c r="F130" i="23"/>
  <c r="F129" i="23"/>
  <c r="H129" i="23" s="1"/>
  <c r="F128" i="23"/>
  <c r="H128" i="23" s="1"/>
  <c r="F127" i="23"/>
  <c r="H127" i="23" s="1"/>
  <c r="H126" i="23"/>
  <c r="F126" i="23"/>
  <c r="F125" i="23"/>
  <c r="H125" i="23" s="1"/>
  <c r="F124" i="23"/>
  <c r="H124" i="23" s="1"/>
  <c r="F123" i="23"/>
  <c r="H123" i="23" s="1"/>
  <c r="H122" i="23"/>
  <c r="F122" i="23"/>
  <c r="F121" i="23"/>
  <c r="H121" i="23" s="1"/>
  <c r="F120" i="23"/>
  <c r="H120" i="23" s="1"/>
  <c r="H119" i="23"/>
  <c r="H118" i="23"/>
  <c r="H117" i="23"/>
  <c r="H116" i="23"/>
  <c r="H115" i="23"/>
  <c r="H114" i="23"/>
  <c r="H113" i="23"/>
  <c r="H112" i="23"/>
  <c r="H111" i="23"/>
  <c r="H110" i="23"/>
  <c r="H109" i="23"/>
  <c r="H108" i="23"/>
  <c r="H107" i="23"/>
  <c r="H106" i="23"/>
  <c r="H105" i="23"/>
  <c r="D99" i="23"/>
  <c r="F93" i="23"/>
  <c r="H93" i="23" s="1"/>
  <c r="H92" i="23"/>
  <c r="H91" i="23"/>
  <c r="F90" i="23"/>
  <c r="H90" i="23" s="1"/>
  <c r="H89" i="23"/>
  <c r="H88" i="23"/>
  <c r="F85" i="23"/>
  <c r="H85" i="23" s="1"/>
  <c r="F84" i="23"/>
  <c r="H84" i="23" s="1"/>
  <c r="F83" i="23"/>
  <c r="H83" i="23" s="1"/>
  <c r="H82" i="23"/>
  <c r="F82" i="23"/>
  <c r="F81" i="23"/>
  <c r="H81" i="23" s="1"/>
  <c r="F80" i="23"/>
  <c r="H80" i="23" s="1"/>
  <c r="F79" i="23"/>
  <c r="H79" i="23" s="1"/>
  <c r="H78" i="23"/>
  <c r="F78" i="23"/>
  <c r="F77" i="23"/>
  <c r="H77" i="23" s="1"/>
  <c r="F76" i="23"/>
  <c r="H76" i="23" s="1"/>
  <c r="F75" i="23"/>
  <c r="H75" i="23" s="1"/>
  <c r="H74" i="23"/>
  <c r="F74" i="23"/>
  <c r="F73" i="23"/>
  <c r="H73" i="23" s="1"/>
  <c r="H72" i="23"/>
  <c r="F71" i="23"/>
  <c r="H71" i="23" s="1"/>
  <c r="H70" i="23"/>
  <c r="F69" i="23"/>
  <c r="H69" i="23" s="1"/>
  <c r="H68" i="23"/>
  <c r="F67" i="23"/>
  <c r="H67" i="23" s="1"/>
  <c r="H66" i="23"/>
  <c r="F65" i="23"/>
  <c r="H65" i="23" s="1"/>
  <c r="H64" i="23"/>
  <c r="H63" i="23"/>
  <c r="F62" i="23"/>
  <c r="H62" i="23" s="1"/>
  <c r="F61" i="23"/>
  <c r="H61" i="23" s="1"/>
  <c r="F60" i="23"/>
  <c r="H60" i="23" s="1"/>
  <c r="F59" i="23"/>
  <c r="H59" i="23" s="1"/>
  <c r="F58" i="23"/>
  <c r="H58" i="23" s="1"/>
  <c r="D52" i="23"/>
  <c r="H46" i="23"/>
  <c r="D46" i="23"/>
  <c r="H45" i="23"/>
  <c r="H44" i="23"/>
  <c r="D43" i="23"/>
  <c r="H43" i="23" s="1"/>
  <c r="D42" i="23"/>
  <c r="H42" i="23" s="1"/>
  <c r="H41" i="23"/>
  <c r="H38" i="23"/>
  <c r="D38" i="23"/>
  <c r="D37" i="23"/>
  <c r="H37" i="23" s="1"/>
  <c r="D36" i="23"/>
  <c r="H36" i="23" s="1"/>
  <c r="D35" i="23"/>
  <c r="H35" i="23" s="1"/>
  <c r="H34" i="23"/>
  <c r="D34" i="23"/>
  <c r="D33" i="23"/>
  <c r="H33" i="23" s="1"/>
  <c r="D32" i="23"/>
  <c r="H32" i="23" s="1"/>
  <c r="D31" i="23"/>
  <c r="H31" i="23" s="1"/>
  <c r="H30" i="23"/>
  <c r="D30" i="23"/>
  <c r="D29" i="23"/>
  <c r="H29" i="23" s="1"/>
  <c r="D28" i="23"/>
  <c r="H28" i="23" s="1"/>
  <c r="D27" i="23"/>
  <c r="H27" i="23" s="1"/>
  <c r="H26" i="23"/>
  <c r="D26" i="23"/>
  <c r="H25" i="23"/>
  <c r="D24" i="23"/>
  <c r="H24" i="23" s="1"/>
  <c r="H23" i="23"/>
  <c r="D22" i="23"/>
  <c r="H22" i="23" s="1"/>
  <c r="H21" i="23"/>
  <c r="H20" i="23"/>
  <c r="D20" i="23"/>
  <c r="H19" i="23"/>
  <c r="D18" i="23"/>
  <c r="H18" i="23" s="1"/>
  <c r="H17" i="23"/>
  <c r="H16" i="23"/>
  <c r="H15" i="23"/>
  <c r="D15" i="23"/>
  <c r="D14" i="23"/>
  <c r="H14" i="23" s="1"/>
  <c r="D13" i="23"/>
  <c r="H13" i="23" s="1"/>
  <c r="D12" i="23"/>
  <c r="H12" i="23" s="1"/>
  <c r="D11" i="23"/>
  <c r="H11" i="23" s="1"/>
  <c r="D3" i="23"/>
  <c r="B5" i="13"/>
  <c r="B4" i="13"/>
  <c r="B5" i="16"/>
  <c r="B4" i="16"/>
  <c r="B5" i="7"/>
  <c r="B4" i="7"/>
  <c r="B3" i="8"/>
  <c r="B2" i="8"/>
  <c r="B3" i="15"/>
  <c r="B2" i="15"/>
  <c r="B3" i="12"/>
  <c r="B2" i="12"/>
  <c r="B3" i="22"/>
  <c r="B2" i="22"/>
  <c r="E81" i="22"/>
  <c r="D81" i="22"/>
  <c r="C81" i="22"/>
  <c r="E80" i="22"/>
  <c r="D80" i="22"/>
  <c r="C80" i="22"/>
  <c r="E78" i="22"/>
  <c r="C78" i="22"/>
  <c r="E77" i="22"/>
  <c r="D77" i="22"/>
  <c r="C77" i="22"/>
  <c r="C76" i="22"/>
  <c r="E75" i="22"/>
  <c r="D75" i="22"/>
  <c r="C75" i="22"/>
  <c r="D67" i="22"/>
  <c r="C67" i="22"/>
  <c r="D66" i="22"/>
  <c r="C66" i="22"/>
  <c r="D65" i="22"/>
  <c r="C65" i="22"/>
  <c r="C63" i="22"/>
  <c r="D62" i="22"/>
  <c r="C62" i="22"/>
  <c r="C61" i="22"/>
  <c r="D60" i="22"/>
  <c r="C60" i="22"/>
  <c r="E50" i="22"/>
  <c r="D50" i="22"/>
  <c r="C50" i="22"/>
  <c r="E49" i="22"/>
  <c r="D49" i="22"/>
  <c r="C49" i="22"/>
  <c r="E48" i="22"/>
  <c r="C48" i="22"/>
  <c r="E46" i="22"/>
  <c r="D46" i="22"/>
  <c r="C46" i="22"/>
  <c r="E45" i="22"/>
  <c r="D45" i="22"/>
  <c r="E22" i="22"/>
  <c r="F22" i="22" s="1"/>
  <c r="C22" i="22"/>
  <c r="C21" i="22"/>
  <c r="E20" i="22"/>
  <c r="K20" i="22" s="1"/>
  <c r="R20" i="22" s="1"/>
  <c r="C20" i="22"/>
  <c r="C19" i="22"/>
  <c r="E18" i="22"/>
  <c r="F18" i="22" s="1"/>
  <c r="C18" i="22"/>
  <c r="C17" i="22"/>
  <c r="E16" i="22"/>
  <c r="C16" i="22"/>
  <c r="C15" i="22"/>
  <c r="Q14" i="22"/>
  <c r="S14" i="22" s="1"/>
  <c r="G14" i="22"/>
  <c r="M14" i="22" s="1"/>
  <c r="E14" i="22"/>
  <c r="F14" i="22" s="1"/>
  <c r="C14" i="22"/>
  <c r="Q13" i="22"/>
  <c r="S13" i="22" s="1"/>
  <c r="G13" i="22"/>
  <c r="E13" i="22"/>
  <c r="K13" i="22" s="1"/>
  <c r="C13" i="22"/>
  <c r="C12" i="22"/>
  <c r="Q11" i="22"/>
  <c r="S11" i="22" s="1"/>
  <c r="G11" i="22"/>
  <c r="E11" i="22"/>
  <c r="F11" i="22" s="1"/>
  <c r="C11" i="22"/>
  <c r="E10" i="22"/>
  <c r="F10" i="22" s="1"/>
  <c r="C10" i="22"/>
  <c r="C9" i="22"/>
  <c r="C8" i="22"/>
  <c r="E51" i="22"/>
  <c r="E52" i="22" s="1"/>
  <c r="D28" i="22"/>
  <c r="C28" i="22"/>
  <c r="D27" i="22"/>
  <c r="C27" i="22"/>
  <c r="D26" i="22"/>
  <c r="C26" i="22"/>
  <c r="I22" i="22"/>
  <c r="I21" i="22"/>
  <c r="I20" i="22"/>
  <c r="L20" i="22"/>
  <c r="I19" i="22"/>
  <c r="I18" i="22"/>
  <c r="L18" i="22"/>
  <c r="I17" i="22"/>
  <c r="K16" i="22"/>
  <c r="I16" i="22"/>
  <c r="F16" i="22"/>
  <c r="L16" i="22"/>
  <c r="I15" i="22"/>
  <c r="K14" i="22"/>
  <c r="R14" i="22" s="1"/>
  <c r="I14" i="22"/>
  <c r="L14" i="22"/>
  <c r="I13" i="22"/>
  <c r="I12" i="22"/>
  <c r="I11" i="22"/>
  <c r="M11" i="22"/>
  <c r="L11" i="22"/>
  <c r="I10" i="22"/>
  <c r="T7" i="22"/>
  <c r="S7" i="22"/>
  <c r="R7" i="22"/>
  <c r="Q7" i="22"/>
  <c r="P7" i="22"/>
  <c r="O7" i="22"/>
  <c r="N7" i="22"/>
  <c r="M7" i="22"/>
  <c r="L7" i="22"/>
  <c r="K7" i="22"/>
  <c r="J7" i="22"/>
  <c r="I7" i="22"/>
  <c r="H7" i="22"/>
  <c r="G7" i="22"/>
  <c r="F7" i="22"/>
  <c r="E7" i="22"/>
  <c r="D7" i="22"/>
  <c r="C7" i="22"/>
  <c r="S6" i="22"/>
  <c r="Q6" i="22"/>
  <c r="O6" i="22"/>
  <c r="M6" i="22"/>
  <c r="K6" i="22"/>
  <c r="I6" i="22"/>
  <c r="G6" i="22"/>
  <c r="D6" i="22"/>
  <c r="S5" i="22"/>
  <c r="Q5" i="22"/>
  <c r="O5" i="22"/>
  <c r="M5" i="22"/>
  <c r="K5" i="22"/>
  <c r="F22" i="21"/>
  <c r="Q22" i="22" s="1"/>
  <c r="S22" i="22" s="1"/>
  <c r="E22" i="21"/>
  <c r="D119" i="23" s="1"/>
  <c r="F20" i="21"/>
  <c r="Q20" i="22" s="1"/>
  <c r="S20" i="22" s="1"/>
  <c r="E20" i="21"/>
  <c r="D117" i="23" s="1"/>
  <c r="F18" i="21"/>
  <c r="Q18" i="22" s="1"/>
  <c r="S18" i="22" s="1"/>
  <c r="E18" i="21"/>
  <c r="D115" i="23" s="1"/>
  <c r="F16" i="21"/>
  <c r="Q16" i="22" s="1"/>
  <c r="S16" i="22" s="1"/>
  <c r="E16" i="21"/>
  <c r="D113" i="23" s="1"/>
  <c r="C104" i="21"/>
  <c r="C103" i="21"/>
  <c r="C102" i="21"/>
  <c r="C101" i="21"/>
  <c r="C84" i="21"/>
  <c r="B84" i="21" s="1"/>
  <c r="C79" i="22" s="1"/>
  <c r="C81" i="21"/>
  <c r="E76" i="22" s="1"/>
  <c r="E82" i="22" s="1"/>
  <c r="E83" i="22" s="1"/>
  <c r="C76" i="21"/>
  <c r="D74" i="22" s="1"/>
  <c r="C68" i="21"/>
  <c r="C65" i="21"/>
  <c r="D61" i="22" s="1"/>
  <c r="C54" i="21"/>
  <c r="B54" i="21" s="1"/>
  <c r="C47" i="22" s="1"/>
  <c r="E34" i="21"/>
  <c r="G21" i="21"/>
  <c r="E21" i="22" s="1"/>
  <c r="F21" i="22" s="1"/>
  <c r="E21" i="21"/>
  <c r="G19" i="21"/>
  <c r="E19" i="22" s="1"/>
  <c r="F19" i="22" s="1"/>
  <c r="G17" i="21"/>
  <c r="E17" i="22" s="1"/>
  <c r="E17" i="21"/>
  <c r="G15" i="21"/>
  <c r="E15" i="22" s="1"/>
  <c r="F15" i="22" s="1"/>
  <c r="E15" i="21"/>
  <c r="G12" i="21"/>
  <c r="E12" i="22" s="1"/>
  <c r="F12" i="22" s="1"/>
  <c r="B140" i="16"/>
  <c r="B139" i="16"/>
  <c r="B138" i="16"/>
  <c r="B137" i="16"/>
  <c r="B136" i="16"/>
  <c r="B135" i="16"/>
  <c r="B134" i="16"/>
  <c r="B133" i="16"/>
  <c r="B132" i="16"/>
  <c r="B131" i="16"/>
  <c r="B130" i="16"/>
  <c r="B129" i="16"/>
  <c r="B128" i="16"/>
  <c r="B127" i="16"/>
  <c r="B126" i="16"/>
  <c r="B125" i="16"/>
  <c r="B124" i="16"/>
  <c r="B123" i="16"/>
  <c r="B122" i="16"/>
  <c r="B121" i="16"/>
  <c r="B120" i="16"/>
  <c r="D119" i="16"/>
  <c r="B119" i="16"/>
  <c r="B118" i="16"/>
  <c r="D117" i="16"/>
  <c r="B117" i="16"/>
  <c r="B116" i="16"/>
  <c r="D115" i="16"/>
  <c r="B115" i="16"/>
  <c r="B114" i="16"/>
  <c r="D113" i="16"/>
  <c r="B113" i="16"/>
  <c r="B112" i="16"/>
  <c r="D111" i="16"/>
  <c r="B111" i="16"/>
  <c r="D110" i="16"/>
  <c r="B110" i="16"/>
  <c r="B109" i="16"/>
  <c r="D108" i="16"/>
  <c r="B108" i="16"/>
  <c r="B107" i="16"/>
  <c r="B106" i="16"/>
  <c r="B105" i="16"/>
  <c r="B103" i="16"/>
  <c r="B93" i="16"/>
  <c r="B92" i="16"/>
  <c r="B91" i="16"/>
  <c r="B90" i="16"/>
  <c r="B89" i="16"/>
  <c r="B88" i="16"/>
  <c r="B87" i="16"/>
  <c r="B86" i="16"/>
  <c r="B85" i="16"/>
  <c r="B84" i="16"/>
  <c r="B83" i="16"/>
  <c r="B82" i="16"/>
  <c r="B81" i="16"/>
  <c r="B80" i="16"/>
  <c r="B79" i="16"/>
  <c r="B78" i="16"/>
  <c r="B77" i="16"/>
  <c r="B76" i="16"/>
  <c r="B75" i="16"/>
  <c r="B74" i="16"/>
  <c r="B73" i="16"/>
  <c r="D72" i="16"/>
  <c r="B72" i="16"/>
  <c r="B71" i="16"/>
  <c r="D70" i="16"/>
  <c r="B70" i="16"/>
  <c r="B69" i="16"/>
  <c r="D68" i="16"/>
  <c r="B68" i="16"/>
  <c r="B67" i="16"/>
  <c r="D66" i="16"/>
  <c r="B66" i="16"/>
  <c r="B65" i="16"/>
  <c r="D64" i="16"/>
  <c r="B64" i="16"/>
  <c r="D63" i="16"/>
  <c r="B63" i="16"/>
  <c r="B62" i="16"/>
  <c r="D61" i="16"/>
  <c r="B61" i="16"/>
  <c r="B60" i="16"/>
  <c r="B59" i="16"/>
  <c r="B58" i="16"/>
  <c r="B56"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9" i="16"/>
  <c r="F140" i="16"/>
  <c r="H140" i="16" s="1"/>
  <c r="H139" i="16"/>
  <c r="F137" i="16"/>
  <c r="H137" i="16" s="1"/>
  <c r="H136" i="16"/>
  <c r="H133" i="16"/>
  <c r="F132" i="16"/>
  <c r="H132" i="16" s="1"/>
  <c r="F131" i="16"/>
  <c r="H131" i="16" s="1"/>
  <c r="H130" i="16"/>
  <c r="F130" i="16"/>
  <c r="F129" i="16"/>
  <c r="H129" i="16" s="1"/>
  <c r="F128" i="16"/>
  <c r="H128" i="16" s="1"/>
  <c r="F127" i="16"/>
  <c r="H127" i="16" s="1"/>
  <c r="F126" i="16"/>
  <c r="H126" i="16" s="1"/>
  <c r="F125" i="16"/>
  <c r="H125" i="16" s="1"/>
  <c r="F124" i="16"/>
  <c r="H124" i="16" s="1"/>
  <c r="H123" i="16"/>
  <c r="F122" i="16"/>
  <c r="H122" i="16" s="1"/>
  <c r="F121" i="16"/>
  <c r="H121" i="16" s="1"/>
  <c r="F120" i="16"/>
  <c r="H120" i="16" s="1"/>
  <c r="H119" i="16"/>
  <c r="H118" i="16"/>
  <c r="H117" i="16"/>
  <c r="H116" i="16"/>
  <c r="H115" i="16"/>
  <c r="H114" i="16"/>
  <c r="H113" i="16"/>
  <c r="H112" i="16"/>
  <c r="H111" i="16"/>
  <c r="H110" i="16"/>
  <c r="H109" i="16"/>
  <c r="H108" i="16"/>
  <c r="H107" i="16"/>
  <c r="H106" i="16"/>
  <c r="H105" i="16"/>
  <c r="D99" i="16"/>
  <c r="F93" i="16"/>
  <c r="H93" i="16" s="1"/>
  <c r="H92" i="16"/>
  <c r="H91" i="16"/>
  <c r="F90" i="16"/>
  <c r="H90" i="16" s="1"/>
  <c r="H89" i="16"/>
  <c r="H88" i="16"/>
  <c r="F85" i="16"/>
  <c r="H85" i="16" s="1"/>
  <c r="F84" i="16"/>
  <c r="H84" i="16" s="1"/>
  <c r="F83" i="16"/>
  <c r="H83" i="16" s="1"/>
  <c r="F82" i="16"/>
  <c r="H82" i="16" s="1"/>
  <c r="F81" i="16"/>
  <c r="H81" i="16" s="1"/>
  <c r="F80" i="16"/>
  <c r="H80" i="16" s="1"/>
  <c r="F79" i="16"/>
  <c r="H79" i="16" s="1"/>
  <c r="F78" i="16"/>
  <c r="H78" i="16" s="1"/>
  <c r="F77" i="16"/>
  <c r="H77" i="16" s="1"/>
  <c r="H76" i="16"/>
  <c r="F75" i="16"/>
  <c r="H75" i="16" s="1"/>
  <c r="F74" i="16"/>
  <c r="H74" i="16" s="1"/>
  <c r="F73" i="16"/>
  <c r="H73" i="16" s="1"/>
  <c r="H72" i="16"/>
  <c r="H71" i="16"/>
  <c r="H70" i="16"/>
  <c r="F69" i="16"/>
  <c r="H69" i="16" s="1"/>
  <c r="H68" i="16"/>
  <c r="H67" i="16"/>
  <c r="H66" i="16"/>
  <c r="H65" i="16"/>
  <c r="H64" i="16"/>
  <c r="H63" i="16"/>
  <c r="H62" i="16"/>
  <c r="F61" i="16"/>
  <c r="H61" i="16" s="1"/>
  <c r="F60" i="16"/>
  <c r="H60" i="16" s="1"/>
  <c r="F59" i="16"/>
  <c r="H59" i="16" s="1"/>
  <c r="F58" i="16"/>
  <c r="H58" i="16" s="1"/>
  <c r="D52" i="16"/>
  <c r="D46" i="16"/>
  <c r="H46" i="16" s="1"/>
  <c r="H45" i="16"/>
  <c r="H44" i="16"/>
  <c r="D43" i="16"/>
  <c r="H43" i="16" s="1"/>
  <c r="D42" i="16"/>
  <c r="H42" i="16" s="1"/>
  <c r="H41" i="16"/>
  <c r="D38" i="16"/>
  <c r="H38" i="16" s="1"/>
  <c r="D37" i="16"/>
  <c r="H37" i="16" s="1"/>
  <c r="D36" i="16"/>
  <c r="H36" i="16" s="1"/>
  <c r="D35" i="16"/>
  <c r="H35" i="16" s="1"/>
  <c r="D34" i="16"/>
  <c r="H34" i="16" s="1"/>
  <c r="D33" i="16"/>
  <c r="H33" i="16" s="1"/>
  <c r="D32" i="16"/>
  <c r="H32" i="16" s="1"/>
  <c r="D31" i="16"/>
  <c r="H31" i="16" s="1"/>
  <c r="D30" i="16"/>
  <c r="H30" i="16" s="1"/>
  <c r="H29" i="16"/>
  <c r="H28" i="16"/>
  <c r="D28" i="16"/>
  <c r="D27" i="16"/>
  <c r="H27" i="16" s="1"/>
  <c r="D26" i="16"/>
  <c r="H26" i="16" s="1"/>
  <c r="H25" i="16"/>
  <c r="H24" i="16"/>
  <c r="H23" i="16"/>
  <c r="D22" i="16"/>
  <c r="H22" i="16" s="1"/>
  <c r="H21" i="16"/>
  <c r="H20" i="16"/>
  <c r="H19" i="16"/>
  <c r="H18" i="16"/>
  <c r="H17" i="16"/>
  <c r="H16" i="16"/>
  <c r="H15" i="16"/>
  <c r="D14" i="16"/>
  <c r="H14" i="16" s="1"/>
  <c r="D13" i="16"/>
  <c r="H13" i="16" s="1"/>
  <c r="D12" i="16"/>
  <c r="H12" i="16" s="1"/>
  <c r="D11" i="16"/>
  <c r="H11" i="16" s="1"/>
  <c r="D3" i="16"/>
  <c r="C107" i="14"/>
  <c r="E94" i="15" s="1"/>
  <c r="D109" i="15" s="1"/>
  <c r="I8" i="15"/>
  <c r="D46" i="15"/>
  <c r="E46" i="15"/>
  <c r="E52" i="15"/>
  <c r="D52" i="15"/>
  <c r="E51" i="15"/>
  <c r="D51" i="15"/>
  <c r="E50" i="15"/>
  <c r="D50" i="15"/>
  <c r="E49" i="15"/>
  <c r="D48" i="15"/>
  <c r="E47" i="15"/>
  <c r="D47" i="15"/>
  <c r="D53" i="15" s="1"/>
  <c r="D54" i="15" s="1"/>
  <c r="D100" i="15"/>
  <c r="D119" i="15" s="1"/>
  <c r="D101" i="15"/>
  <c r="D116" i="15" s="1"/>
  <c r="D99" i="15"/>
  <c r="D106" i="15" s="1"/>
  <c r="D98" i="15"/>
  <c r="D97" i="15"/>
  <c r="D115" i="15" s="1"/>
  <c r="E96" i="15"/>
  <c r="E95" i="15"/>
  <c r="D132" i="15" s="1"/>
  <c r="E93" i="15"/>
  <c r="D128" i="15" s="1"/>
  <c r="D92" i="15"/>
  <c r="D125" i="15" s="1"/>
  <c r="C155" i="15"/>
  <c r="D131" i="15"/>
  <c r="C105" i="14"/>
  <c r="E92" i="15" s="1"/>
  <c r="D127" i="15" s="1"/>
  <c r="D55" i="15" l="1"/>
  <c r="G8" i="15" s="1"/>
  <c r="C106" i="21"/>
  <c r="G18" i="22"/>
  <c r="M18" i="22" s="1"/>
  <c r="F17" i="22"/>
  <c r="F20" i="22"/>
  <c r="L22" i="22"/>
  <c r="R13" i="22"/>
  <c r="G22" i="22"/>
  <c r="M22" i="22" s="1"/>
  <c r="D76" i="22"/>
  <c r="D68" i="23"/>
  <c r="F12" i="25"/>
  <c r="J12" i="25" s="1"/>
  <c r="F17" i="25"/>
  <c r="J17" i="25" s="1"/>
  <c r="F13" i="25"/>
  <c r="H13" i="25" s="1"/>
  <c r="F18" i="25"/>
  <c r="R16" i="22"/>
  <c r="K22" i="22"/>
  <c r="K24" i="22" s="1"/>
  <c r="D79" i="22"/>
  <c r="F10" i="25"/>
  <c r="J10" i="25" s="1"/>
  <c r="E53" i="15"/>
  <c r="E54" i="15" s="1"/>
  <c r="D64" i="22"/>
  <c r="B68" i="21"/>
  <c r="C64" i="22" s="1"/>
  <c r="E62" i="29"/>
  <c r="D62" i="29"/>
  <c r="F12" i="29"/>
  <c r="K13" i="29"/>
  <c r="R13" i="29" s="1"/>
  <c r="P13" i="25"/>
  <c r="E53" i="25"/>
  <c r="E54" i="25" s="1"/>
  <c r="D82" i="22"/>
  <c r="D83" i="22" s="1"/>
  <c r="F13" i="22"/>
  <c r="H13" i="22" s="1"/>
  <c r="G16" i="22"/>
  <c r="M16" i="22" s="1"/>
  <c r="G20" i="22"/>
  <c r="M20" i="22" s="1"/>
  <c r="E74" i="22"/>
  <c r="D72" i="23"/>
  <c r="R18" i="22"/>
  <c r="D47" i="22"/>
  <c r="D51" i="22" s="1"/>
  <c r="D52" i="22" s="1"/>
  <c r="D53" i="22" s="1"/>
  <c r="L13" i="22"/>
  <c r="T13" i="22" s="1"/>
  <c r="D66" i="23"/>
  <c r="T16" i="25"/>
  <c r="C106" i="24"/>
  <c r="R14" i="25"/>
  <c r="K16" i="25"/>
  <c r="R16" i="25" s="1"/>
  <c r="H22" i="25"/>
  <c r="D78" i="25"/>
  <c r="D81" i="25"/>
  <c r="D70" i="26"/>
  <c r="D117" i="26"/>
  <c r="T20" i="25"/>
  <c r="D49" i="25"/>
  <c r="D53" i="25" s="1"/>
  <c r="D54" i="25" s="1"/>
  <c r="D55" i="25" s="1"/>
  <c r="R20" i="25"/>
  <c r="T13" i="25"/>
  <c r="D76" i="25"/>
  <c r="F20" i="25"/>
  <c r="H20" i="25" s="1"/>
  <c r="D66" i="25"/>
  <c r="D72" i="26"/>
  <c r="D72" i="30"/>
  <c r="D119" i="30"/>
  <c r="E70" i="29"/>
  <c r="E71" i="29" s="1"/>
  <c r="D70" i="30"/>
  <c r="D117" i="30"/>
  <c r="D66" i="30"/>
  <c r="D113" i="30"/>
  <c r="K14" i="29"/>
  <c r="R14" i="29" s="1"/>
  <c r="F22" i="29"/>
  <c r="J22" i="29" s="1"/>
  <c r="D47" i="29"/>
  <c r="D51" i="29" s="1"/>
  <c r="D52" i="29" s="1"/>
  <c r="E60" i="29"/>
  <c r="F10" i="29"/>
  <c r="J10" i="29" s="1"/>
  <c r="F15" i="29"/>
  <c r="F19" i="29"/>
  <c r="J19" i="29" s="1"/>
  <c r="J13" i="29"/>
  <c r="L13" i="29"/>
  <c r="T13" i="29" s="1"/>
  <c r="L14" i="29"/>
  <c r="T14" i="29" s="1"/>
  <c r="K18" i="29"/>
  <c r="L18" i="29"/>
  <c r="T18" i="29" s="1"/>
  <c r="K22" i="29"/>
  <c r="N22" i="29" s="1"/>
  <c r="R16" i="29"/>
  <c r="F17" i="29"/>
  <c r="R20" i="29"/>
  <c r="F21" i="29"/>
  <c r="J21" i="29" s="1"/>
  <c r="E51" i="29"/>
  <c r="E52" i="29" s="1"/>
  <c r="F11" i="29"/>
  <c r="J11" i="29" s="1"/>
  <c r="L11" i="29"/>
  <c r="T11" i="29" s="1"/>
  <c r="F16" i="29"/>
  <c r="L16" i="29"/>
  <c r="T16" i="29" s="1"/>
  <c r="F20" i="29"/>
  <c r="L20" i="29"/>
  <c r="T20" i="29" s="1"/>
  <c r="T22" i="29"/>
  <c r="N11" i="29"/>
  <c r="J14" i="29"/>
  <c r="J18" i="29"/>
  <c r="H14" i="29"/>
  <c r="H18" i="29"/>
  <c r="N16" i="29"/>
  <c r="N20" i="29"/>
  <c r="R11" i="29"/>
  <c r="M14" i="29"/>
  <c r="M18" i="29"/>
  <c r="H13" i="29"/>
  <c r="O11" i="29"/>
  <c r="O14" i="29"/>
  <c r="O16" i="29"/>
  <c r="O18" i="29"/>
  <c r="O20" i="29"/>
  <c r="O22" i="29"/>
  <c r="P22" i="29" s="1"/>
  <c r="J21" i="25"/>
  <c r="T18" i="25"/>
  <c r="T22" i="25"/>
  <c r="K11" i="25"/>
  <c r="R13" i="25"/>
  <c r="F19" i="25"/>
  <c r="J19" i="25" s="1"/>
  <c r="F11" i="25"/>
  <c r="H11" i="25" s="1"/>
  <c r="L11" i="25"/>
  <c r="L24" i="25" s="1"/>
  <c r="F15" i="25"/>
  <c r="J15" i="25" s="1"/>
  <c r="R18" i="25"/>
  <c r="R22" i="25"/>
  <c r="H14" i="25"/>
  <c r="T14" i="25"/>
  <c r="F16" i="25"/>
  <c r="H16" i="25" s="1"/>
  <c r="H18" i="25"/>
  <c r="J14" i="25"/>
  <c r="J16" i="25"/>
  <c r="J18" i="25"/>
  <c r="J20" i="25"/>
  <c r="J22" i="25"/>
  <c r="R11" i="25"/>
  <c r="R24" i="25" s="1"/>
  <c r="N14" i="25"/>
  <c r="N16" i="25"/>
  <c r="N18" i="25"/>
  <c r="N20" i="25"/>
  <c r="N22" i="25"/>
  <c r="O11" i="25"/>
  <c r="O14" i="25"/>
  <c r="P14" i="25" s="1"/>
  <c r="O16" i="25"/>
  <c r="P16" i="25" s="1"/>
  <c r="O18" i="25"/>
  <c r="P18" i="25" s="1"/>
  <c r="O20" i="25"/>
  <c r="P20" i="25" s="1"/>
  <c r="O22" i="25"/>
  <c r="P22" i="25" s="1"/>
  <c r="N13" i="25"/>
  <c r="J10" i="22"/>
  <c r="J11" i="22"/>
  <c r="J12" i="22"/>
  <c r="J14" i="22"/>
  <c r="J15" i="22"/>
  <c r="J16" i="22"/>
  <c r="J17" i="22"/>
  <c r="J18" i="22"/>
  <c r="J19" i="22"/>
  <c r="J20" i="22"/>
  <c r="J21" i="22"/>
  <c r="J22" i="22"/>
  <c r="T11" i="22"/>
  <c r="T14" i="22"/>
  <c r="T16" i="22"/>
  <c r="T18" i="22"/>
  <c r="T20" i="22"/>
  <c r="T22" i="22"/>
  <c r="N11" i="22"/>
  <c r="R11" i="22"/>
  <c r="O13" i="22"/>
  <c r="N14" i="22"/>
  <c r="N16" i="22"/>
  <c r="N18" i="22"/>
  <c r="N20" i="22"/>
  <c r="O11" i="22"/>
  <c r="P11" i="22" s="1"/>
  <c r="O14" i="22"/>
  <c r="P14" i="22" s="1"/>
  <c r="O16" i="22"/>
  <c r="P16" i="22" s="1"/>
  <c r="O18" i="22"/>
  <c r="P18" i="22" s="1"/>
  <c r="O20" i="22"/>
  <c r="P20" i="22" s="1"/>
  <c r="O22" i="22"/>
  <c r="P22" i="22" s="1"/>
  <c r="H11" i="22"/>
  <c r="H14" i="22"/>
  <c r="H16" i="22"/>
  <c r="H18" i="22"/>
  <c r="H20" i="22"/>
  <c r="N13" i="22"/>
  <c r="D117" i="15"/>
  <c r="D139" i="15" s="1"/>
  <c r="D118" i="15"/>
  <c r="D120" i="15" s="1"/>
  <c r="D138" i="15"/>
  <c r="D142" i="15" s="1"/>
  <c r="D133" i="15"/>
  <c r="D108" i="15"/>
  <c r="D129" i="15"/>
  <c r="D107" i="15"/>
  <c r="D126" i="15" s="1"/>
  <c r="D140" i="15"/>
  <c r="R24" i="22" l="1"/>
  <c r="Q24" i="22" s="1"/>
  <c r="H22" i="22"/>
  <c r="N22" i="22"/>
  <c r="N24" i="22" s="1"/>
  <c r="J13" i="25"/>
  <c r="N13" i="29"/>
  <c r="R22" i="22"/>
  <c r="H22" i="29"/>
  <c r="N14" i="29"/>
  <c r="D70" i="29"/>
  <c r="D71" i="29" s="1"/>
  <c r="D72" i="29" s="1"/>
  <c r="G17" i="29" s="1"/>
  <c r="H17" i="29" s="1"/>
  <c r="D53" i="29"/>
  <c r="D54" i="29" s="1"/>
  <c r="K24" i="25"/>
  <c r="J11" i="25"/>
  <c r="J24" i="25" s="1"/>
  <c r="J27" i="25" s="1"/>
  <c r="F138" i="26" s="1"/>
  <c r="H138" i="26" s="1"/>
  <c r="D84" i="25"/>
  <c r="D85" i="25" s="1"/>
  <c r="D86" i="25" s="1"/>
  <c r="J13" i="22"/>
  <c r="D84" i="22"/>
  <c r="G19" i="22" s="1"/>
  <c r="H19" i="22" s="1"/>
  <c r="C67" i="21"/>
  <c r="D63" i="22"/>
  <c r="D68" i="22" s="1"/>
  <c r="D69" i="22" s="1"/>
  <c r="P13" i="22"/>
  <c r="P24" i="22" s="1"/>
  <c r="L24" i="22"/>
  <c r="N11" i="25"/>
  <c r="N24" i="25" s="1"/>
  <c r="C67" i="24"/>
  <c r="D65" i="25"/>
  <c r="D70" i="25" s="1"/>
  <c r="D71" i="25" s="1"/>
  <c r="P14" i="29"/>
  <c r="P16" i="29"/>
  <c r="H11" i="29"/>
  <c r="P18" i="29"/>
  <c r="P20" i="29"/>
  <c r="P11" i="29"/>
  <c r="P13" i="29"/>
  <c r="J17" i="29"/>
  <c r="J15" i="29"/>
  <c r="J12" i="29"/>
  <c r="K24" i="29"/>
  <c r="R18" i="29"/>
  <c r="R22" i="29"/>
  <c r="N18" i="29"/>
  <c r="N24" i="29" s="1"/>
  <c r="N28" i="29" s="1"/>
  <c r="J16" i="29"/>
  <c r="H16" i="29"/>
  <c r="T24" i="29"/>
  <c r="T27" i="29" s="1"/>
  <c r="L24" i="29"/>
  <c r="J20" i="29"/>
  <c r="H20" i="29"/>
  <c r="P11" i="25"/>
  <c r="P24" i="25" s="1"/>
  <c r="T11" i="25"/>
  <c r="T24" i="25" s="1"/>
  <c r="S24" i="25" s="1"/>
  <c r="Q24" i="25"/>
  <c r="R28" i="25"/>
  <c r="R27" i="25"/>
  <c r="T28" i="25"/>
  <c r="T27" i="25"/>
  <c r="D56" i="25"/>
  <c r="G10" i="25"/>
  <c r="H10" i="25" s="1"/>
  <c r="J24" i="22"/>
  <c r="D54" i="22"/>
  <c r="G10" i="22"/>
  <c r="H10" i="22" s="1"/>
  <c r="T24" i="22"/>
  <c r="D56" i="15"/>
  <c r="D110" i="15"/>
  <c r="D148" i="15"/>
  <c r="D141" i="15"/>
  <c r="D147" i="15" s="1"/>
  <c r="D149" i="15"/>
  <c r="R27" i="22" l="1"/>
  <c r="R28" i="22"/>
  <c r="D87" i="25"/>
  <c r="G19" i="25"/>
  <c r="H19" i="25" s="1"/>
  <c r="D85" i="22"/>
  <c r="G17" i="22"/>
  <c r="H17" i="22" s="1"/>
  <c r="G15" i="22"/>
  <c r="H15" i="22" s="1"/>
  <c r="G12" i="22"/>
  <c r="H12" i="22" s="1"/>
  <c r="G21" i="22"/>
  <c r="H21" i="22" s="1"/>
  <c r="H24" i="22"/>
  <c r="H28" i="22" s="1"/>
  <c r="G15" i="25"/>
  <c r="H15" i="25" s="1"/>
  <c r="G12" i="25"/>
  <c r="H12" i="25" s="1"/>
  <c r="G21" i="25"/>
  <c r="H21" i="25" s="1"/>
  <c r="G17" i="25"/>
  <c r="H17" i="25" s="1"/>
  <c r="G12" i="29"/>
  <c r="H12" i="29" s="1"/>
  <c r="S24" i="29"/>
  <c r="S28" i="29" s="1"/>
  <c r="D73" i="29"/>
  <c r="G21" i="29"/>
  <c r="H21" i="29" s="1"/>
  <c r="P24" i="29"/>
  <c r="P27" i="29" s="1"/>
  <c r="G15" i="29"/>
  <c r="H15" i="29" s="1"/>
  <c r="G19" i="29"/>
  <c r="H19" i="29" s="1"/>
  <c r="J24" i="29"/>
  <c r="J28" i="29" s="1"/>
  <c r="R24" i="29"/>
  <c r="R28" i="29" s="1"/>
  <c r="T28" i="29"/>
  <c r="M24" i="29"/>
  <c r="M28" i="29" s="1"/>
  <c r="G10" i="29"/>
  <c r="H10" i="29" s="1"/>
  <c r="N27" i="29"/>
  <c r="J28" i="25"/>
  <c r="O24" i="25"/>
  <c r="P28" i="25"/>
  <c r="P27" i="25"/>
  <c r="S28" i="25"/>
  <c r="S27" i="25"/>
  <c r="Q28" i="25"/>
  <c r="Q27" i="25"/>
  <c r="D40" i="26" s="1"/>
  <c r="H40" i="26" s="1"/>
  <c r="M24" i="25"/>
  <c r="N28" i="25"/>
  <c r="N27" i="25"/>
  <c r="J28" i="22"/>
  <c r="J27" i="22"/>
  <c r="F138" i="23" s="1"/>
  <c r="H138" i="23" s="1"/>
  <c r="S24" i="22"/>
  <c r="T28" i="22"/>
  <c r="T27" i="22"/>
  <c r="M24" i="22"/>
  <c r="N28" i="22"/>
  <c r="N27" i="22"/>
  <c r="O24" i="22"/>
  <c r="P28" i="22"/>
  <c r="P27" i="22"/>
  <c r="Q28" i="22"/>
  <c r="Q27" i="22"/>
  <c r="D40" i="23" s="1"/>
  <c r="H40" i="23" s="1"/>
  <c r="D150" i="15"/>
  <c r="D151" i="15" s="1"/>
  <c r="D152" i="15" s="1"/>
  <c r="P28" i="29" l="1"/>
  <c r="S27" i="29"/>
  <c r="F134" i="30" s="1"/>
  <c r="H134" i="30" s="1"/>
  <c r="H24" i="25"/>
  <c r="H28" i="25" s="1"/>
  <c r="H27" i="22"/>
  <c r="F135" i="23" s="1"/>
  <c r="H135" i="23" s="1"/>
  <c r="F87" i="26"/>
  <c r="H87" i="26" s="1"/>
  <c r="F134" i="26"/>
  <c r="H134" i="26" s="1"/>
  <c r="R27" i="29"/>
  <c r="H24" i="29"/>
  <c r="H28" i="29" s="1"/>
  <c r="O24" i="29"/>
  <c r="O28" i="29" s="1"/>
  <c r="Q24" i="29"/>
  <c r="Q28" i="29" s="1"/>
  <c r="J27" i="29"/>
  <c r="F138" i="30" s="1"/>
  <c r="H138" i="30" s="1"/>
  <c r="M27" i="29"/>
  <c r="D39" i="30" s="1"/>
  <c r="H39" i="30" s="1"/>
  <c r="M28" i="25"/>
  <c r="M27" i="25"/>
  <c r="D39" i="26" s="1"/>
  <c r="H39" i="26" s="1"/>
  <c r="H47" i="26" s="1"/>
  <c r="D47" i="26" s="1"/>
  <c r="O28" i="25"/>
  <c r="O27" i="25"/>
  <c r="F86" i="26" s="1"/>
  <c r="H86" i="26" s="1"/>
  <c r="M28" i="22"/>
  <c r="M27" i="22"/>
  <c r="D39" i="23" s="1"/>
  <c r="H39" i="23" s="1"/>
  <c r="H47" i="23" s="1"/>
  <c r="D47" i="23" s="1"/>
  <c r="O28" i="22"/>
  <c r="O27" i="22"/>
  <c r="F86" i="23" s="1"/>
  <c r="H86" i="23" s="1"/>
  <c r="S28" i="22"/>
  <c r="S27" i="22"/>
  <c r="D155" i="15"/>
  <c r="D157" i="15" s="1"/>
  <c r="G12" i="15" s="1"/>
  <c r="H27" i="25" l="1"/>
  <c r="F135" i="26" s="1"/>
  <c r="H135" i="26" s="1"/>
  <c r="H141" i="26" s="1"/>
  <c r="F141" i="26" s="1"/>
  <c r="F87" i="30"/>
  <c r="H87" i="30" s="1"/>
  <c r="F87" i="23"/>
  <c r="H87" i="23" s="1"/>
  <c r="H94" i="23" s="1"/>
  <c r="F94" i="23" s="1"/>
  <c r="F134" i="23"/>
  <c r="H134" i="23" s="1"/>
  <c r="H141" i="23" s="1"/>
  <c r="F141" i="23" s="1"/>
  <c r="H94" i="26"/>
  <c r="F94" i="26" s="1"/>
  <c r="Q27" i="29"/>
  <c r="D40" i="30" s="1"/>
  <c r="H40" i="30" s="1"/>
  <c r="H47" i="30" s="1"/>
  <c r="D47" i="30" s="1"/>
  <c r="O27" i="29"/>
  <c r="F86" i="30" s="1"/>
  <c r="H86" i="30" s="1"/>
  <c r="H94" i="30" s="1"/>
  <c r="F94" i="30" s="1"/>
  <c r="H27" i="29"/>
  <c r="F135" i="30" s="1"/>
  <c r="H135" i="30" s="1"/>
  <c r="H141" i="30" s="1"/>
  <c r="F141" i="30" s="1"/>
  <c r="G17" i="15"/>
  <c r="G21" i="15"/>
  <c r="G15" i="15"/>
  <c r="E81" i="15" l="1"/>
  <c r="D81" i="15"/>
  <c r="C81" i="15"/>
  <c r="E80" i="15"/>
  <c r="D80" i="15"/>
  <c r="C80" i="15"/>
  <c r="E78" i="15"/>
  <c r="C78" i="15"/>
  <c r="E77" i="15"/>
  <c r="D77" i="15"/>
  <c r="C77" i="15"/>
  <c r="C76" i="15"/>
  <c r="E75" i="15"/>
  <c r="D75" i="15"/>
  <c r="C75" i="15"/>
  <c r="E65" i="15"/>
  <c r="D65" i="15"/>
  <c r="C65" i="15"/>
  <c r="E64" i="15"/>
  <c r="D64" i="15"/>
  <c r="C64" i="15"/>
  <c r="E63" i="15"/>
  <c r="C63" i="15"/>
  <c r="E61" i="15"/>
  <c r="D61" i="15"/>
  <c r="C61" i="15"/>
  <c r="E60" i="15"/>
  <c r="D60" i="15"/>
  <c r="Q22" i="15"/>
  <c r="S22" i="15" s="1"/>
  <c r="G22" i="15"/>
  <c r="M22" i="15" s="1"/>
  <c r="E22" i="15"/>
  <c r="F22" i="15" s="1"/>
  <c r="C22" i="15"/>
  <c r="C21" i="15"/>
  <c r="Q20" i="15"/>
  <c r="S20" i="15" s="1"/>
  <c r="G20" i="15"/>
  <c r="M20" i="15" s="1"/>
  <c r="E20" i="15"/>
  <c r="K20" i="15" s="1"/>
  <c r="C20" i="15"/>
  <c r="C19" i="15"/>
  <c r="Q18" i="15"/>
  <c r="S18" i="15" s="1"/>
  <c r="G18" i="15"/>
  <c r="M18" i="15" s="1"/>
  <c r="E18" i="15"/>
  <c r="F18" i="15" s="1"/>
  <c r="C18" i="15"/>
  <c r="C17" i="15"/>
  <c r="Q16" i="15"/>
  <c r="S16" i="15" s="1"/>
  <c r="G16" i="15"/>
  <c r="M16" i="15" s="1"/>
  <c r="E16" i="15"/>
  <c r="F16" i="15" s="1"/>
  <c r="C16" i="15"/>
  <c r="C15" i="15"/>
  <c r="Q14" i="15"/>
  <c r="S14" i="15" s="1"/>
  <c r="G14" i="15"/>
  <c r="M14" i="15" s="1"/>
  <c r="E14" i="15"/>
  <c r="L14" i="15" s="1"/>
  <c r="C14" i="15"/>
  <c r="Q13" i="15"/>
  <c r="S13" i="15" s="1"/>
  <c r="G13" i="15"/>
  <c r="E13" i="15"/>
  <c r="K13" i="15" s="1"/>
  <c r="C13" i="15"/>
  <c r="C12" i="15"/>
  <c r="Q11" i="15"/>
  <c r="S11" i="15" s="1"/>
  <c r="G11" i="15"/>
  <c r="M11" i="15" s="1"/>
  <c r="E11" i="15"/>
  <c r="K11" i="15" s="1"/>
  <c r="C11" i="15"/>
  <c r="E10" i="15"/>
  <c r="C10" i="15"/>
  <c r="C9" i="15"/>
  <c r="C8" i="15"/>
  <c r="D28" i="15"/>
  <c r="C28" i="15"/>
  <c r="D27" i="15"/>
  <c r="C27" i="15"/>
  <c r="D26" i="15"/>
  <c r="C26" i="15"/>
  <c r="I22" i="15"/>
  <c r="I21" i="15"/>
  <c r="I20" i="15"/>
  <c r="I19" i="15"/>
  <c r="I18" i="15"/>
  <c r="I17" i="15"/>
  <c r="I16" i="15"/>
  <c r="I15" i="15"/>
  <c r="I14" i="15"/>
  <c r="I13" i="15"/>
  <c r="I12" i="15"/>
  <c r="I11" i="15"/>
  <c r="I10" i="15"/>
  <c r="T7" i="15"/>
  <c r="S7" i="15"/>
  <c r="R7" i="15"/>
  <c r="Q7" i="15"/>
  <c r="P7" i="15"/>
  <c r="O7" i="15"/>
  <c r="N7" i="15"/>
  <c r="M7" i="15"/>
  <c r="L7" i="15"/>
  <c r="K7" i="15"/>
  <c r="J7" i="15"/>
  <c r="I7" i="15"/>
  <c r="H7" i="15"/>
  <c r="G7" i="15"/>
  <c r="F7" i="15"/>
  <c r="E7" i="15"/>
  <c r="D7" i="15"/>
  <c r="C7" i="15"/>
  <c r="S6" i="15"/>
  <c r="Q6" i="15"/>
  <c r="O6" i="15"/>
  <c r="M6" i="15"/>
  <c r="K6" i="15"/>
  <c r="I6" i="15"/>
  <c r="G6" i="15"/>
  <c r="D6" i="15"/>
  <c r="S5" i="15"/>
  <c r="Q5" i="15"/>
  <c r="O5" i="15"/>
  <c r="M5" i="15"/>
  <c r="K5" i="15"/>
  <c r="G8" i="14"/>
  <c r="E8" i="15" s="1"/>
  <c r="F8" i="15" s="1"/>
  <c r="C85" i="14"/>
  <c r="B85" i="14" s="1"/>
  <c r="C79" i="15" s="1"/>
  <c r="C82" i="14"/>
  <c r="D76" i="15" s="1"/>
  <c r="C77" i="14"/>
  <c r="E74" i="15" s="1"/>
  <c r="C69" i="14"/>
  <c r="B69" i="14" s="1"/>
  <c r="C62" i="15" s="1"/>
  <c r="E34" i="14"/>
  <c r="G21" i="14"/>
  <c r="E21" i="15" s="1"/>
  <c r="E21" i="14"/>
  <c r="G19" i="14"/>
  <c r="E19" i="15" s="1"/>
  <c r="G17" i="14"/>
  <c r="E17" i="15" s="1"/>
  <c r="E17" i="14"/>
  <c r="G15" i="14"/>
  <c r="E15" i="15" s="1"/>
  <c r="E15" i="14"/>
  <c r="G12" i="14"/>
  <c r="E12" i="15" s="1"/>
  <c r="B103" i="7"/>
  <c r="B56" i="7"/>
  <c r="B9" i="7"/>
  <c r="B103" i="13"/>
  <c r="B56" i="13"/>
  <c r="B9" i="13"/>
  <c r="B134" i="13"/>
  <c r="B135" i="13"/>
  <c r="B136" i="13"/>
  <c r="B137" i="13"/>
  <c r="B138" i="13"/>
  <c r="B139" i="13"/>
  <c r="B140" i="13"/>
  <c r="B133" i="13"/>
  <c r="B122" i="13"/>
  <c r="B123" i="13"/>
  <c r="B124" i="13"/>
  <c r="B125" i="13"/>
  <c r="B126" i="13"/>
  <c r="B127" i="13"/>
  <c r="B128" i="13"/>
  <c r="B129" i="13"/>
  <c r="B130" i="13"/>
  <c r="B131" i="13"/>
  <c r="B132" i="13"/>
  <c r="B121" i="13"/>
  <c r="B106" i="13"/>
  <c r="B107" i="13"/>
  <c r="B108" i="13"/>
  <c r="B109" i="13"/>
  <c r="B110" i="13"/>
  <c r="B111" i="13"/>
  <c r="B112" i="13"/>
  <c r="B113" i="13"/>
  <c r="B114" i="13"/>
  <c r="B115" i="13"/>
  <c r="B116" i="13"/>
  <c r="B117" i="13"/>
  <c r="B118" i="13"/>
  <c r="B119" i="13"/>
  <c r="B120" i="13"/>
  <c r="B105" i="13"/>
  <c r="B87" i="13"/>
  <c r="B88" i="13"/>
  <c r="B89" i="13"/>
  <c r="B90" i="13"/>
  <c r="B91" i="13"/>
  <c r="B92" i="13"/>
  <c r="B93" i="13"/>
  <c r="B86" i="13"/>
  <c r="B75" i="13"/>
  <c r="B76" i="13"/>
  <c r="B77" i="13"/>
  <c r="B78" i="13"/>
  <c r="B79" i="13"/>
  <c r="B80" i="13"/>
  <c r="B81" i="13"/>
  <c r="B82" i="13"/>
  <c r="B83" i="13"/>
  <c r="B84" i="13"/>
  <c r="B85" i="13"/>
  <c r="B74" i="13"/>
  <c r="B59" i="13"/>
  <c r="B60" i="13"/>
  <c r="B61" i="13"/>
  <c r="B62" i="13"/>
  <c r="B63" i="13"/>
  <c r="B64" i="13"/>
  <c r="B65" i="13"/>
  <c r="B66" i="13"/>
  <c r="B67" i="13"/>
  <c r="B68" i="13"/>
  <c r="B69" i="13"/>
  <c r="B70" i="13"/>
  <c r="B71" i="13"/>
  <c r="B72" i="13"/>
  <c r="B73" i="13"/>
  <c r="B58" i="13"/>
  <c r="B40" i="13"/>
  <c r="B41" i="13"/>
  <c r="B42" i="13"/>
  <c r="B43" i="13"/>
  <c r="B44" i="13"/>
  <c r="B45" i="13"/>
  <c r="B46" i="13"/>
  <c r="B39" i="13"/>
  <c r="B28" i="13"/>
  <c r="B29" i="13"/>
  <c r="B30" i="13"/>
  <c r="B31" i="13"/>
  <c r="B32" i="13"/>
  <c r="B33" i="13"/>
  <c r="B34" i="13"/>
  <c r="B35" i="13"/>
  <c r="B36" i="13"/>
  <c r="B37" i="13"/>
  <c r="B38" i="13"/>
  <c r="B27" i="13"/>
  <c r="B12" i="13"/>
  <c r="B13" i="13"/>
  <c r="B14" i="13"/>
  <c r="B15" i="13"/>
  <c r="B16" i="13"/>
  <c r="B17" i="13"/>
  <c r="B18" i="13"/>
  <c r="B19" i="13"/>
  <c r="B20" i="13"/>
  <c r="B21" i="13"/>
  <c r="B22" i="13"/>
  <c r="B23" i="13"/>
  <c r="B24" i="13"/>
  <c r="B25" i="13"/>
  <c r="B26" i="13"/>
  <c r="B11" i="13"/>
  <c r="B134" i="7"/>
  <c r="B135" i="7"/>
  <c r="B136" i="7"/>
  <c r="B137" i="7"/>
  <c r="B138" i="7"/>
  <c r="B139" i="7"/>
  <c r="B140" i="7"/>
  <c r="B133" i="7"/>
  <c r="B122" i="7"/>
  <c r="B123" i="7"/>
  <c r="B124" i="7"/>
  <c r="B125" i="7"/>
  <c r="B126" i="7"/>
  <c r="B127" i="7"/>
  <c r="B128" i="7"/>
  <c r="B129" i="7"/>
  <c r="B130" i="7"/>
  <c r="B131" i="7"/>
  <c r="B132" i="7"/>
  <c r="B121" i="7"/>
  <c r="B106" i="7"/>
  <c r="B107" i="7"/>
  <c r="B108" i="7"/>
  <c r="B109" i="7"/>
  <c r="B110" i="7"/>
  <c r="B111" i="7"/>
  <c r="B112" i="7"/>
  <c r="B113" i="7"/>
  <c r="B114" i="7"/>
  <c r="B115" i="7"/>
  <c r="B116" i="7"/>
  <c r="B117" i="7"/>
  <c r="B118" i="7"/>
  <c r="B119" i="7"/>
  <c r="B120" i="7"/>
  <c r="B105" i="7"/>
  <c r="B87" i="7"/>
  <c r="B88" i="7"/>
  <c r="B89" i="7"/>
  <c r="B90" i="7"/>
  <c r="B91" i="7"/>
  <c r="B92" i="7"/>
  <c r="B93" i="7"/>
  <c r="B86" i="7"/>
  <c r="B75" i="7"/>
  <c r="B76" i="7"/>
  <c r="B77" i="7"/>
  <c r="B78" i="7"/>
  <c r="B79" i="7"/>
  <c r="B80" i="7"/>
  <c r="B81" i="7"/>
  <c r="B82" i="7"/>
  <c r="B83" i="7"/>
  <c r="B84" i="7"/>
  <c r="B85" i="7"/>
  <c r="B74" i="7"/>
  <c r="B59" i="7"/>
  <c r="B60" i="7"/>
  <c r="B61" i="7"/>
  <c r="B62" i="7"/>
  <c r="B63" i="7"/>
  <c r="B64" i="7"/>
  <c r="B65" i="7"/>
  <c r="B66" i="7"/>
  <c r="B67" i="7"/>
  <c r="B68" i="7"/>
  <c r="B69" i="7"/>
  <c r="B70" i="7"/>
  <c r="B71" i="7"/>
  <c r="B72" i="7"/>
  <c r="B73" i="7"/>
  <c r="B58" i="7"/>
  <c r="B40" i="7"/>
  <c r="B41" i="7"/>
  <c r="B42" i="7"/>
  <c r="B43" i="7"/>
  <c r="B44" i="7"/>
  <c r="B45" i="7"/>
  <c r="B46" i="7"/>
  <c r="B39" i="7"/>
  <c r="B28" i="7"/>
  <c r="B29" i="7"/>
  <c r="B30" i="7"/>
  <c r="B31" i="7"/>
  <c r="B32" i="7"/>
  <c r="B33" i="7"/>
  <c r="B34" i="7"/>
  <c r="B35" i="7"/>
  <c r="B36" i="7"/>
  <c r="B37" i="7"/>
  <c r="B38" i="7"/>
  <c r="B27" i="7"/>
  <c r="B12" i="7"/>
  <c r="B13" i="7"/>
  <c r="B14" i="7"/>
  <c r="B15" i="7"/>
  <c r="B16" i="7"/>
  <c r="B17" i="7"/>
  <c r="B18" i="7"/>
  <c r="B19" i="7"/>
  <c r="B20" i="7"/>
  <c r="B21" i="7"/>
  <c r="B22" i="7"/>
  <c r="B23" i="7"/>
  <c r="B24" i="7"/>
  <c r="B25" i="7"/>
  <c r="B26" i="7"/>
  <c r="B11" i="7"/>
  <c r="D119" i="13"/>
  <c r="D117" i="13"/>
  <c r="D115" i="13"/>
  <c r="D113" i="13"/>
  <c r="D111" i="13"/>
  <c r="D110" i="13"/>
  <c r="D108" i="13"/>
  <c r="D72" i="13"/>
  <c r="D70" i="13"/>
  <c r="D68" i="13"/>
  <c r="D66" i="13"/>
  <c r="D64" i="13"/>
  <c r="D63" i="13"/>
  <c r="D61" i="13"/>
  <c r="H140" i="13"/>
  <c r="F139" i="13"/>
  <c r="H139" i="13" s="1"/>
  <c r="F137" i="13"/>
  <c r="H137" i="13" s="1"/>
  <c r="H136" i="13"/>
  <c r="H133" i="13"/>
  <c r="F132" i="13"/>
  <c r="H132" i="13" s="1"/>
  <c r="H131" i="13"/>
  <c r="F131" i="13"/>
  <c r="F130" i="13"/>
  <c r="H130" i="13" s="1"/>
  <c r="H129" i="13"/>
  <c r="F129" i="13"/>
  <c r="F128" i="13"/>
  <c r="H128" i="13" s="1"/>
  <c r="F127" i="13"/>
  <c r="H127" i="13" s="1"/>
  <c r="F126" i="13"/>
  <c r="H126" i="13" s="1"/>
  <c r="F125" i="13"/>
  <c r="H125" i="13" s="1"/>
  <c r="F124" i="13"/>
  <c r="H124" i="13" s="1"/>
  <c r="H123" i="13"/>
  <c r="F122" i="13"/>
  <c r="H122" i="13" s="1"/>
  <c r="H121" i="13"/>
  <c r="F121" i="13"/>
  <c r="F120" i="13"/>
  <c r="H120" i="13" s="1"/>
  <c r="H119" i="13"/>
  <c r="H118" i="13"/>
  <c r="H117" i="13"/>
  <c r="H116" i="13"/>
  <c r="H115" i="13"/>
  <c r="H114" i="13"/>
  <c r="H113" i="13"/>
  <c r="H112" i="13"/>
  <c r="H111" i="13"/>
  <c r="H110" i="13"/>
  <c r="H109" i="13"/>
  <c r="H108" i="13"/>
  <c r="H107" i="13"/>
  <c r="H106" i="13"/>
  <c r="H105" i="13"/>
  <c r="D99" i="13"/>
  <c r="F93" i="13"/>
  <c r="H93" i="13" s="1"/>
  <c r="H92" i="13"/>
  <c r="H91" i="13"/>
  <c r="F90" i="13"/>
  <c r="H90" i="13" s="1"/>
  <c r="H89" i="13"/>
  <c r="H88" i="13"/>
  <c r="H85" i="13"/>
  <c r="F85" i="13"/>
  <c r="F84" i="13"/>
  <c r="H84" i="13" s="1"/>
  <c r="F83" i="13"/>
  <c r="H83" i="13" s="1"/>
  <c r="F82" i="13"/>
  <c r="H82" i="13" s="1"/>
  <c r="F81" i="13"/>
  <c r="H81" i="13" s="1"/>
  <c r="F80" i="13"/>
  <c r="H80" i="13" s="1"/>
  <c r="H79" i="13"/>
  <c r="F79" i="13"/>
  <c r="F78" i="13"/>
  <c r="H78" i="13" s="1"/>
  <c r="H77" i="13"/>
  <c r="F77" i="13"/>
  <c r="H76" i="13"/>
  <c r="F75" i="13"/>
  <c r="H75" i="13" s="1"/>
  <c r="F74" i="13"/>
  <c r="H74" i="13" s="1"/>
  <c r="F73" i="13"/>
  <c r="H73" i="13" s="1"/>
  <c r="H72" i="13"/>
  <c r="H71" i="13"/>
  <c r="F71" i="13"/>
  <c r="H70" i="13"/>
  <c r="H69" i="13"/>
  <c r="F69" i="13"/>
  <c r="H68" i="13"/>
  <c r="F67" i="13"/>
  <c r="H67" i="13" s="1"/>
  <c r="H66" i="13"/>
  <c r="F65" i="13"/>
  <c r="H65" i="13" s="1"/>
  <c r="H64" i="13"/>
  <c r="H63" i="13"/>
  <c r="F62" i="13"/>
  <c r="H62" i="13" s="1"/>
  <c r="F61" i="13"/>
  <c r="H61" i="13" s="1"/>
  <c r="H60" i="13"/>
  <c r="F60" i="13"/>
  <c r="F59" i="13"/>
  <c r="H59" i="13" s="1"/>
  <c r="H58" i="13"/>
  <c r="F58" i="13"/>
  <c r="D52" i="13"/>
  <c r="H46" i="13"/>
  <c r="H45" i="13"/>
  <c r="H44" i="13"/>
  <c r="D43" i="13"/>
  <c r="H43" i="13" s="1"/>
  <c r="D42" i="13"/>
  <c r="H42" i="13" s="1"/>
  <c r="H41" i="13"/>
  <c r="H38" i="13"/>
  <c r="D38" i="13"/>
  <c r="D37" i="13"/>
  <c r="H37" i="13" s="1"/>
  <c r="D36" i="13"/>
  <c r="H36" i="13" s="1"/>
  <c r="D35" i="13"/>
  <c r="H35" i="13" s="1"/>
  <c r="D34" i="13"/>
  <c r="H34" i="13" s="1"/>
  <c r="D33" i="13"/>
  <c r="H33" i="13" s="1"/>
  <c r="H32" i="13"/>
  <c r="D32" i="13"/>
  <c r="D31" i="13"/>
  <c r="H31" i="13" s="1"/>
  <c r="H30" i="13"/>
  <c r="D30" i="13"/>
  <c r="H29" i="13"/>
  <c r="D28" i="13"/>
  <c r="H28" i="13" s="1"/>
  <c r="D27" i="13"/>
  <c r="H27" i="13" s="1"/>
  <c r="D26" i="13"/>
  <c r="H26" i="13" s="1"/>
  <c r="H25" i="13"/>
  <c r="H24" i="13"/>
  <c r="D24" i="13"/>
  <c r="H23" i="13"/>
  <c r="H22" i="13"/>
  <c r="D22" i="13"/>
  <c r="H21" i="13"/>
  <c r="D20" i="13"/>
  <c r="H20" i="13" s="1"/>
  <c r="H19" i="13"/>
  <c r="H18" i="13"/>
  <c r="D18" i="13"/>
  <c r="H17" i="13"/>
  <c r="H16" i="13"/>
  <c r="H15" i="13"/>
  <c r="D15" i="13"/>
  <c r="D14" i="13"/>
  <c r="H14" i="13" s="1"/>
  <c r="H13" i="13"/>
  <c r="D13" i="13"/>
  <c r="D12" i="13"/>
  <c r="H12" i="13" s="1"/>
  <c r="H11" i="13"/>
  <c r="D11" i="13"/>
  <c r="D3" i="13"/>
  <c r="C103" i="11"/>
  <c r="G16" i="12"/>
  <c r="M16" i="12" s="1"/>
  <c r="E81" i="12"/>
  <c r="D81" i="12"/>
  <c r="C81" i="12"/>
  <c r="E80" i="12"/>
  <c r="D80" i="12"/>
  <c r="C80" i="12"/>
  <c r="E78" i="12"/>
  <c r="C78" i="12"/>
  <c r="E77" i="12"/>
  <c r="D77" i="12"/>
  <c r="C77" i="12"/>
  <c r="C76" i="12"/>
  <c r="E75" i="12"/>
  <c r="D75" i="12"/>
  <c r="C75" i="12"/>
  <c r="D67" i="12"/>
  <c r="C67" i="12"/>
  <c r="D66" i="12"/>
  <c r="C66" i="12"/>
  <c r="D65" i="12"/>
  <c r="C65" i="12"/>
  <c r="C63" i="12"/>
  <c r="D62" i="12"/>
  <c r="C62" i="12"/>
  <c r="C61" i="12"/>
  <c r="D60" i="12"/>
  <c r="C60" i="12"/>
  <c r="E50" i="12"/>
  <c r="D50" i="12"/>
  <c r="C50" i="12"/>
  <c r="E49" i="12"/>
  <c r="D49" i="12"/>
  <c r="C49" i="12"/>
  <c r="E48" i="12"/>
  <c r="C48" i="12"/>
  <c r="E46" i="12"/>
  <c r="D46" i="12"/>
  <c r="C46" i="12"/>
  <c r="E45" i="12"/>
  <c r="D45" i="12"/>
  <c r="Q22" i="12"/>
  <c r="S22" i="12" s="1"/>
  <c r="G22" i="12"/>
  <c r="M22" i="12" s="1"/>
  <c r="E22" i="12"/>
  <c r="K22" i="12" s="1"/>
  <c r="C22" i="12"/>
  <c r="C21" i="12"/>
  <c r="Q20" i="12"/>
  <c r="S20" i="12" s="1"/>
  <c r="G20" i="12"/>
  <c r="E20" i="12"/>
  <c r="F20" i="12" s="1"/>
  <c r="J20" i="12" s="1"/>
  <c r="C20" i="12"/>
  <c r="C19" i="12"/>
  <c r="Q18" i="12"/>
  <c r="S18" i="12" s="1"/>
  <c r="G18" i="12"/>
  <c r="M18" i="12" s="1"/>
  <c r="E18" i="12"/>
  <c r="L18" i="12" s="1"/>
  <c r="C18" i="12"/>
  <c r="C17" i="12"/>
  <c r="Q16" i="12"/>
  <c r="S16" i="12" s="1"/>
  <c r="E16" i="12"/>
  <c r="K16" i="12" s="1"/>
  <c r="C16" i="12"/>
  <c r="C15" i="12"/>
  <c r="Q14" i="12"/>
  <c r="S14" i="12" s="1"/>
  <c r="G14" i="12"/>
  <c r="M14" i="12" s="1"/>
  <c r="E14" i="12"/>
  <c r="K14" i="12" s="1"/>
  <c r="C14" i="12"/>
  <c r="Q13" i="12"/>
  <c r="S13" i="12" s="1"/>
  <c r="G13" i="12"/>
  <c r="O13" i="12" s="1"/>
  <c r="E13" i="12"/>
  <c r="F13" i="12" s="1"/>
  <c r="C13" i="12"/>
  <c r="C12" i="12"/>
  <c r="Q11" i="12"/>
  <c r="S11" i="12" s="1"/>
  <c r="G11" i="12"/>
  <c r="M11" i="12" s="1"/>
  <c r="E11" i="12"/>
  <c r="C11" i="12"/>
  <c r="E10" i="12"/>
  <c r="C10" i="12"/>
  <c r="C9" i="12"/>
  <c r="C8" i="12"/>
  <c r="D28" i="12"/>
  <c r="C28" i="12"/>
  <c r="D27" i="12"/>
  <c r="C27" i="12"/>
  <c r="D26" i="12"/>
  <c r="C26" i="12"/>
  <c r="I22" i="12"/>
  <c r="F22" i="12"/>
  <c r="J22" i="12" s="1"/>
  <c r="I21" i="12"/>
  <c r="I20" i="12"/>
  <c r="M20" i="12"/>
  <c r="I19" i="12"/>
  <c r="I18" i="12"/>
  <c r="I17" i="12"/>
  <c r="I16" i="12"/>
  <c r="I15" i="12"/>
  <c r="I14" i="12"/>
  <c r="I13" i="12"/>
  <c r="I12" i="12"/>
  <c r="I11" i="12"/>
  <c r="I10" i="12"/>
  <c r="T7" i="12"/>
  <c r="S7" i="12"/>
  <c r="R7" i="12"/>
  <c r="Q7" i="12"/>
  <c r="P7" i="12"/>
  <c r="O7" i="12"/>
  <c r="N7" i="12"/>
  <c r="M7" i="12"/>
  <c r="L7" i="12"/>
  <c r="K7" i="12"/>
  <c r="J7" i="12"/>
  <c r="I7" i="12"/>
  <c r="H7" i="12"/>
  <c r="G7" i="12"/>
  <c r="F7" i="12"/>
  <c r="E7" i="12"/>
  <c r="D7" i="12"/>
  <c r="C7" i="12"/>
  <c r="S6" i="12"/>
  <c r="Q6" i="12"/>
  <c r="O6" i="12"/>
  <c r="M6" i="12"/>
  <c r="K6" i="12"/>
  <c r="I6" i="12"/>
  <c r="G6" i="12"/>
  <c r="D6" i="12"/>
  <c r="S5" i="12"/>
  <c r="Q5" i="12"/>
  <c r="O5" i="12"/>
  <c r="M5" i="12"/>
  <c r="K5" i="12"/>
  <c r="C84" i="11"/>
  <c r="D79" i="12" s="1"/>
  <c r="J13" i="12" l="1"/>
  <c r="J8" i="15"/>
  <c r="H8" i="15"/>
  <c r="J18" i="15"/>
  <c r="J22" i="15"/>
  <c r="J16" i="15"/>
  <c r="D62" i="15"/>
  <c r="D66" i="15" s="1"/>
  <c r="D67" i="15" s="1"/>
  <c r="D74" i="15"/>
  <c r="E76" i="15"/>
  <c r="E82" i="15" s="1"/>
  <c r="E83" i="15" s="1"/>
  <c r="D79" i="15"/>
  <c r="D82" i="15" s="1"/>
  <c r="D83" i="15" s="1"/>
  <c r="K14" i="15"/>
  <c r="R14" i="15" s="1"/>
  <c r="L11" i="15"/>
  <c r="T11" i="15" s="1"/>
  <c r="K16" i="15"/>
  <c r="R16" i="15" s="1"/>
  <c r="F11" i="15"/>
  <c r="J11" i="15" s="1"/>
  <c r="L20" i="15"/>
  <c r="T20" i="15" s="1"/>
  <c r="L18" i="15"/>
  <c r="T18" i="15" s="1"/>
  <c r="L22" i="15"/>
  <c r="T22" i="15" s="1"/>
  <c r="R20" i="15"/>
  <c r="F14" i="15"/>
  <c r="J14" i="15" s="1"/>
  <c r="K18" i="15"/>
  <c r="R18" i="15" s="1"/>
  <c r="K22" i="15"/>
  <c r="R22" i="15" s="1"/>
  <c r="L16" i="15"/>
  <c r="T16" i="15" s="1"/>
  <c r="F20" i="15"/>
  <c r="J20" i="15" s="1"/>
  <c r="F10" i="15"/>
  <c r="J10" i="15" s="1"/>
  <c r="R13" i="15"/>
  <c r="F15" i="15"/>
  <c r="J15" i="15" s="1"/>
  <c r="F19" i="15"/>
  <c r="J19" i="15" s="1"/>
  <c r="E66" i="15"/>
  <c r="E67" i="15" s="1"/>
  <c r="F13" i="15"/>
  <c r="J13" i="15" s="1"/>
  <c r="L13" i="15"/>
  <c r="T13" i="15" s="1"/>
  <c r="F17" i="15"/>
  <c r="J17" i="15" s="1"/>
  <c r="F21" i="15"/>
  <c r="J21" i="15" s="1"/>
  <c r="F12" i="15"/>
  <c r="J12" i="15" s="1"/>
  <c r="T14" i="15"/>
  <c r="N11" i="15"/>
  <c r="R11" i="15"/>
  <c r="O13" i="15"/>
  <c r="N20" i="15"/>
  <c r="O11" i="15"/>
  <c r="O14" i="15"/>
  <c r="P14" i="15" s="1"/>
  <c r="O16" i="15"/>
  <c r="O18" i="15"/>
  <c r="O20" i="15"/>
  <c r="O22" i="15"/>
  <c r="H16" i="15"/>
  <c r="H18" i="15"/>
  <c r="H22" i="15"/>
  <c r="N13" i="15"/>
  <c r="E51" i="12"/>
  <c r="E52" i="12" s="1"/>
  <c r="F18" i="12"/>
  <c r="J18" i="12" s="1"/>
  <c r="R16" i="12"/>
  <c r="R14" i="12"/>
  <c r="F11" i="12"/>
  <c r="J11" i="12" s="1"/>
  <c r="F16" i="12"/>
  <c r="J16" i="12" s="1"/>
  <c r="R18" i="12"/>
  <c r="F10" i="12"/>
  <c r="J10" i="12" s="1"/>
  <c r="K13" i="12"/>
  <c r="R13" i="12" s="1"/>
  <c r="T18" i="12"/>
  <c r="F14" i="12"/>
  <c r="J14" i="12" s="1"/>
  <c r="L20" i="12"/>
  <c r="T20" i="12" s="1"/>
  <c r="R22" i="12"/>
  <c r="L13" i="12"/>
  <c r="P13" i="12" s="1"/>
  <c r="K20" i="12"/>
  <c r="R20" i="12" s="1"/>
  <c r="H13" i="12"/>
  <c r="R11" i="12"/>
  <c r="N14" i="12"/>
  <c r="N22" i="12"/>
  <c r="N16" i="12"/>
  <c r="L16" i="12"/>
  <c r="T16" i="12" s="1"/>
  <c r="N11" i="12"/>
  <c r="L11" i="12"/>
  <c r="T11" i="12" s="1"/>
  <c r="L14" i="12"/>
  <c r="T14" i="12" s="1"/>
  <c r="L22" i="12"/>
  <c r="T22" i="12" s="1"/>
  <c r="O20" i="12"/>
  <c r="O22" i="12"/>
  <c r="O11" i="12"/>
  <c r="O16" i="12"/>
  <c r="O18" i="12"/>
  <c r="P18" i="12" s="1"/>
  <c r="H20" i="12"/>
  <c r="H22" i="12"/>
  <c r="O14" i="12"/>
  <c r="N13" i="12" l="1"/>
  <c r="J24" i="15"/>
  <c r="N14" i="15"/>
  <c r="N18" i="15"/>
  <c r="H11" i="15"/>
  <c r="H12" i="15"/>
  <c r="H15" i="15"/>
  <c r="P22" i="15"/>
  <c r="D68" i="15"/>
  <c r="P20" i="15"/>
  <c r="H20" i="15"/>
  <c r="D84" i="15"/>
  <c r="G19" i="15" s="1"/>
  <c r="H19" i="15" s="1"/>
  <c r="N22" i="15"/>
  <c r="P13" i="15"/>
  <c r="P11" i="15"/>
  <c r="P18" i="15"/>
  <c r="H14" i="15"/>
  <c r="L24" i="15"/>
  <c r="H21" i="15"/>
  <c r="P16" i="15"/>
  <c r="K24" i="15"/>
  <c r="N16" i="15"/>
  <c r="J28" i="15"/>
  <c r="H13" i="15"/>
  <c r="R24" i="15"/>
  <c r="R28" i="15" s="1"/>
  <c r="H17" i="15"/>
  <c r="T24" i="15"/>
  <c r="T27" i="15" s="1"/>
  <c r="R24" i="12"/>
  <c r="R28" i="12" s="1"/>
  <c r="H18" i="12"/>
  <c r="H11" i="12"/>
  <c r="P14" i="12"/>
  <c r="H16" i="12"/>
  <c r="P16" i="12"/>
  <c r="H14" i="12"/>
  <c r="P11" i="12"/>
  <c r="T13" i="12"/>
  <c r="T24" i="12" s="1"/>
  <c r="N18" i="12"/>
  <c r="K24" i="12"/>
  <c r="P20" i="12"/>
  <c r="N20" i="12"/>
  <c r="P22" i="12"/>
  <c r="L24" i="12"/>
  <c r="P24" i="12" l="1"/>
  <c r="P27" i="12" s="1"/>
  <c r="R27" i="12"/>
  <c r="Q24" i="12"/>
  <c r="Q27" i="12" s="1"/>
  <c r="D40" i="13" s="1"/>
  <c r="H40" i="13" s="1"/>
  <c r="G10" i="15"/>
  <c r="H10" i="15" s="1"/>
  <c r="H24" i="15" s="1"/>
  <c r="H27" i="15" s="1"/>
  <c r="F135" i="16" s="1"/>
  <c r="H135" i="16" s="1"/>
  <c r="D69" i="15"/>
  <c r="D85" i="15"/>
  <c r="J27" i="15"/>
  <c r="F138" i="16" s="1"/>
  <c r="H138" i="16" s="1"/>
  <c r="N24" i="15"/>
  <c r="N27" i="15" s="1"/>
  <c r="P24" i="15"/>
  <c r="O24" i="15" s="1"/>
  <c r="S24" i="15"/>
  <c r="S27" i="15" s="1"/>
  <c r="Q24" i="15"/>
  <c r="Q28" i="15" s="1"/>
  <c r="R27" i="15"/>
  <c r="T28" i="15"/>
  <c r="N24" i="12"/>
  <c r="N27" i="12" s="1"/>
  <c r="N28" i="12"/>
  <c r="P28" i="12"/>
  <c r="O24" i="12"/>
  <c r="O28" i="12" s="1"/>
  <c r="T28" i="12"/>
  <c r="T27" i="12"/>
  <c r="S24" i="12"/>
  <c r="Q28" i="12" l="1"/>
  <c r="M24" i="12"/>
  <c r="M28" i="12" s="1"/>
  <c r="F87" i="16"/>
  <c r="H87" i="16" s="1"/>
  <c r="F134" i="16"/>
  <c r="H134" i="16" s="1"/>
  <c r="H141" i="16" s="1"/>
  <c r="F141" i="16" s="1"/>
  <c r="O27" i="12"/>
  <c r="F86" i="13" s="1"/>
  <c r="H86" i="13" s="1"/>
  <c r="M24" i="15"/>
  <c r="M28" i="15" s="1"/>
  <c r="P27" i="15"/>
  <c r="S28" i="15"/>
  <c r="N28" i="15"/>
  <c r="H28" i="15"/>
  <c r="P28" i="15"/>
  <c r="Q27" i="15"/>
  <c r="D40" i="16" s="1"/>
  <c r="H40" i="16" s="1"/>
  <c r="O28" i="15"/>
  <c r="O27" i="15"/>
  <c r="F86" i="16" s="1"/>
  <c r="H86" i="16" s="1"/>
  <c r="H94" i="16" s="1"/>
  <c r="F94" i="16" s="1"/>
  <c r="M27" i="12"/>
  <c r="D39" i="13" s="1"/>
  <c r="H39" i="13" s="1"/>
  <c r="H47" i="13" s="1"/>
  <c r="D47" i="13" s="1"/>
  <c r="S28" i="12"/>
  <c r="S27" i="12"/>
  <c r="M27" i="15" l="1"/>
  <c r="D39" i="16" s="1"/>
  <c r="H39" i="16" s="1"/>
  <c r="H47" i="16" s="1"/>
  <c r="D47" i="16" s="1"/>
  <c r="F134" i="13"/>
  <c r="H134" i="13" s="1"/>
  <c r="F87" i="13"/>
  <c r="H87" i="13" s="1"/>
  <c r="H94" i="13" s="1"/>
  <c r="F94" i="13" s="1"/>
  <c r="C105" i="11" l="1"/>
  <c r="C104" i="11"/>
  <c r="C102" i="11"/>
  <c r="C101" i="11"/>
  <c r="B84" i="11"/>
  <c r="C79" i="12" s="1"/>
  <c r="C81" i="11"/>
  <c r="C76" i="11"/>
  <c r="C68" i="11"/>
  <c r="C65" i="11"/>
  <c r="D61" i="12" s="1"/>
  <c r="C54" i="11"/>
  <c r="D47" i="12" s="1"/>
  <c r="D51" i="12" s="1"/>
  <c r="D52" i="12" s="1"/>
  <c r="D53" i="12" s="1"/>
  <c r="E34" i="11"/>
  <c r="G21" i="11"/>
  <c r="E21" i="12" s="1"/>
  <c r="F21" i="12" s="1"/>
  <c r="J21" i="12" s="1"/>
  <c r="E21" i="11"/>
  <c r="G19" i="11"/>
  <c r="E19" i="12" s="1"/>
  <c r="F19" i="12" s="1"/>
  <c r="J19" i="12" s="1"/>
  <c r="G17" i="11"/>
  <c r="E17" i="12" s="1"/>
  <c r="F17" i="12" s="1"/>
  <c r="J17" i="12" s="1"/>
  <c r="E17" i="11"/>
  <c r="G15" i="11"/>
  <c r="E15" i="12" s="1"/>
  <c r="F15" i="12" s="1"/>
  <c r="J15" i="12" s="1"/>
  <c r="E15" i="11"/>
  <c r="G12" i="11"/>
  <c r="E12" i="12" s="1"/>
  <c r="F12" i="12" s="1"/>
  <c r="J12" i="12" s="1"/>
  <c r="D64" i="12" l="1"/>
  <c r="B68" i="11"/>
  <c r="C64" i="12" s="1"/>
  <c r="E74" i="12"/>
  <c r="D74" i="12"/>
  <c r="B54" i="11"/>
  <c r="C47" i="12" s="1"/>
  <c r="G10" i="12"/>
  <c r="H10" i="12" s="1"/>
  <c r="D54" i="12"/>
  <c r="D76" i="12"/>
  <c r="D82" i="12" s="1"/>
  <c r="D83" i="12" s="1"/>
  <c r="E76" i="12"/>
  <c r="E82" i="12" s="1"/>
  <c r="E83" i="12" s="1"/>
  <c r="J24" i="12"/>
  <c r="C106" i="11"/>
  <c r="C68" i="10"/>
  <c r="B68" i="10" s="1"/>
  <c r="G12" i="10"/>
  <c r="E17" i="10"/>
  <c r="J28" i="12" l="1"/>
  <c r="J27" i="12"/>
  <c r="F138" i="13" s="1"/>
  <c r="H138" i="13" s="1"/>
  <c r="D84" i="12"/>
  <c r="C67" i="11"/>
  <c r="D63" i="12"/>
  <c r="D68" i="12" s="1"/>
  <c r="D69" i="12" s="1"/>
  <c r="M5" i="8"/>
  <c r="O5" i="8"/>
  <c r="Q5" i="8"/>
  <c r="S5" i="8"/>
  <c r="K5" i="8"/>
  <c r="C27" i="8"/>
  <c r="D27" i="8"/>
  <c r="C28" i="8"/>
  <c r="D28" i="8"/>
  <c r="D26" i="8"/>
  <c r="C26" i="8"/>
  <c r="G19" i="12" l="1"/>
  <c r="H19" i="12" s="1"/>
  <c r="D85" i="12"/>
  <c r="G17" i="12"/>
  <c r="H17" i="12" s="1"/>
  <c r="G15" i="12"/>
  <c r="H15" i="12" s="1"/>
  <c r="G12" i="12"/>
  <c r="H12" i="12" s="1"/>
  <c r="G21" i="12"/>
  <c r="H21" i="12" s="1"/>
  <c r="Q22" i="8"/>
  <c r="Q20" i="8"/>
  <c r="Q18" i="8"/>
  <c r="Q16" i="8"/>
  <c r="Q14" i="8"/>
  <c r="Q13" i="8"/>
  <c r="S13" i="8" s="1"/>
  <c r="Q11" i="8"/>
  <c r="S11" i="8" s="1"/>
  <c r="C54" i="10"/>
  <c r="C84" i="10"/>
  <c r="D79" i="8" s="1"/>
  <c r="E21" i="10"/>
  <c r="E15" i="10"/>
  <c r="D119" i="7"/>
  <c r="D117" i="7"/>
  <c r="D115" i="7"/>
  <c r="D113" i="7"/>
  <c r="D111" i="7"/>
  <c r="D110" i="7"/>
  <c r="D108" i="7"/>
  <c r="D72" i="7"/>
  <c r="D70" i="7"/>
  <c r="D68" i="7"/>
  <c r="D66" i="7"/>
  <c r="D64" i="7"/>
  <c r="D63" i="7"/>
  <c r="D61" i="7"/>
  <c r="D27" i="7"/>
  <c r="D28" i="7"/>
  <c r="D32" i="7"/>
  <c r="D6" i="8"/>
  <c r="I6" i="8"/>
  <c r="K6" i="8"/>
  <c r="M6" i="8"/>
  <c r="O6" i="8"/>
  <c r="Q6" i="8"/>
  <c r="S6" i="8"/>
  <c r="G6" i="8"/>
  <c r="D7" i="8"/>
  <c r="E7" i="8"/>
  <c r="F7" i="8"/>
  <c r="G7" i="8"/>
  <c r="H7" i="8"/>
  <c r="I7" i="8"/>
  <c r="J7" i="8"/>
  <c r="K7" i="8"/>
  <c r="L7" i="8"/>
  <c r="M7" i="8"/>
  <c r="N7" i="8"/>
  <c r="O7" i="8"/>
  <c r="P7" i="8"/>
  <c r="Q7" i="8"/>
  <c r="R7" i="8"/>
  <c r="S7" i="8"/>
  <c r="T7" i="8"/>
  <c r="C7" i="8"/>
  <c r="C105" i="10"/>
  <c r="C104" i="10"/>
  <c r="C103" i="10"/>
  <c r="C102" i="10"/>
  <c r="C101" i="10"/>
  <c r="E77" i="8"/>
  <c r="E78" i="8"/>
  <c r="E80" i="8"/>
  <c r="E81" i="8"/>
  <c r="E75" i="8"/>
  <c r="D77" i="8"/>
  <c r="D80" i="8"/>
  <c r="D81" i="8"/>
  <c r="D75" i="8"/>
  <c r="C76" i="8"/>
  <c r="C77" i="8"/>
  <c r="C78" i="8"/>
  <c r="C80" i="8"/>
  <c r="C81" i="8"/>
  <c r="C75" i="8"/>
  <c r="C76" i="10"/>
  <c r="E74" i="8" s="1"/>
  <c r="C81" i="10"/>
  <c r="E76" i="8" s="1"/>
  <c r="E16" i="8"/>
  <c r="K16" i="8" s="1"/>
  <c r="E18" i="8"/>
  <c r="R18" i="8" s="1"/>
  <c r="E20" i="8"/>
  <c r="E22" i="8"/>
  <c r="K22" i="8" s="1"/>
  <c r="E14" i="8"/>
  <c r="K14" i="8" s="1"/>
  <c r="E13" i="8"/>
  <c r="K13" i="8" s="1"/>
  <c r="R13" i="8" s="1"/>
  <c r="E12" i="8"/>
  <c r="E11" i="8"/>
  <c r="F11" i="8" s="1"/>
  <c r="G19" i="10"/>
  <c r="E19" i="8" s="1"/>
  <c r="G21" i="10"/>
  <c r="E21" i="8" s="1"/>
  <c r="G17" i="10"/>
  <c r="E17" i="8" s="1"/>
  <c r="G15" i="10"/>
  <c r="E15" i="8" s="1"/>
  <c r="E10" i="8"/>
  <c r="G22" i="8"/>
  <c r="M22" i="8" s="1"/>
  <c r="G20" i="8"/>
  <c r="O20" i="8" s="1"/>
  <c r="G18" i="8"/>
  <c r="O18" i="8" s="1"/>
  <c r="G16" i="8"/>
  <c r="M16" i="8" s="1"/>
  <c r="G11" i="8"/>
  <c r="M11" i="8" s="1"/>
  <c r="G13" i="8"/>
  <c r="O13" i="8" s="1"/>
  <c r="G14" i="8"/>
  <c r="M14" i="8" s="1"/>
  <c r="E50" i="8"/>
  <c r="E49" i="8"/>
  <c r="E48" i="8"/>
  <c r="E46" i="8"/>
  <c r="D47" i="8"/>
  <c r="D49" i="8"/>
  <c r="D50" i="8"/>
  <c r="D46" i="8"/>
  <c r="D45" i="8"/>
  <c r="C46" i="8"/>
  <c r="C48" i="8"/>
  <c r="C49" i="8"/>
  <c r="C50" i="8"/>
  <c r="E45" i="8"/>
  <c r="B54" i="10"/>
  <c r="C47" i="8" s="1"/>
  <c r="D65" i="8"/>
  <c r="D66" i="8"/>
  <c r="D67" i="8"/>
  <c r="D64" i="8"/>
  <c r="D62" i="8"/>
  <c r="D60" i="8"/>
  <c r="C61" i="8"/>
  <c r="C62" i="8"/>
  <c r="C63" i="8"/>
  <c r="C65" i="8"/>
  <c r="C66" i="8"/>
  <c r="C67" i="8"/>
  <c r="C60" i="8"/>
  <c r="C64" i="8"/>
  <c r="C65" i="10"/>
  <c r="D61" i="8" s="1"/>
  <c r="C9" i="8"/>
  <c r="C10" i="8"/>
  <c r="C11" i="8"/>
  <c r="C12" i="8"/>
  <c r="C13" i="8"/>
  <c r="C14" i="8"/>
  <c r="C15" i="8"/>
  <c r="C16" i="8"/>
  <c r="C17" i="8"/>
  <c r="C18" i="8"/>
  <c r="C19" i="8"/>
  <c r="C20" i="8"/>
  <c r="C21" i="8"/>
  <c r="C22" i="8"/>
  <c r="C8" i="8"/>
  <c r="E34" i="10"/>
  <c r="D3" i="7"/>
  <c r="D99" i="7"/>
  <c r="D52" i="7"/>
  <c r="F139" i="7"/>
  <c r="F137" i="7"/>
  <c r="F132" i="7"/>
  <c r="F131" i="7"/>
  <c r="F130" i="7"/>
  <c r="F129" i="7"/>
  <c r="F128" i="7"/>
  <c r="F127" i="7"/>
  <c r="F126" i="7"/>
  <c r="F125" i="7"/>
  <c r="F124" i="7"/>
  <c r="F122" i="7"/>
  <c r="F121" i="7"/>
  <c r="F120" i="7"/>
  <c r="F90" i="7"/>
  <c r="F85" i="7"/>
  <c r="F84" i="7"/>
  <c r="F83" i="7"/>
  <c r="F82" i="7"/>
  <c r="F81" i="7"/>
  <c r="F80" i="7"/>
  <c r="F79" i="7"/>
  <c r="F78" i="7"/>
  <c r="F77" i="7"/>
  <c r="F75" i="7"/>
  <c r="F74" i="7"/>
  <c r="F73" i="7"/>
  <c r="F71" i="7"/>
  <c r="F67" i="7"/>
  <c r="F65" i="7"/>
  <c r="F62" i="7"/>
  <c r="F61" i="7"/>
  <c r="F60" i="7"/>
  <c r="F59" i="7"/>
  <c r="F58" i="7"/>
  <c r="D43" i="7"/>
  <c r="D38" i="7"/>
  <c r="D37" i="7"/>
  <c r="D36" i="7"/>
  <c r="D35" i="7"/>
  <c r="D34" i="7"/>
  <c r="D33" i="7"/>
  <c r="D31" i="7"/>
  <c r="D30" i="7"/>
  <c r="D26" i="7"/>
  <c r="D24" i="7"/>
  <c r="D22" i="7"/>
  <c r="D20" i="7"/>
  <c r="D18" i="7"/>
  <c r="D15" i="7"/>
  <c r="D14" i="7"/>
  <c r="D13" i="7"/>
  <c r="D12" i="7"/>
  <c r="D11" i="7"/>
  <c r="D42" i="7"/>
  <c r="S22" i="8"/>
  <c r="I22" i="8"/>
  <c r="I21" i="8"/>
  <c r="S20" i="8"/>
  <c r="M20" i="8"/>
  <c r="L20" i="8"/>
  <c r="I20" i="8"/>
  <c r="I19" i="8"/>
  <c r="S18" i="8"/>
  <c r="I18" i="8"/>
  <c r="F18" i="8"/>
  <c r="I17" i="8"/>
  <c r="S16" i="8"/>
  <c r="L16" i="8"/>
  <c r="R16" i="8"/>
  <c r="I16" i="8"/>
  <c r="F16" i="8"/>
  <c r="I15" i="8"/>
  <c r="S14" i="8"/>
  <c r="L14" i="8"/>
  <c r="R14" i="8"/>
  <c r="I14" i="8"/>
  <c r="F14" i="8"/>
  <c r="N13" i="8"/>
  <c r="L13" i="8"/>
  <c r="I13" i="8"/>
  <c r="I12" i="8"/>
  <c r="I11" i="8"/>
  <c r="I10" i="8"/>
  <c r="F13" i="8" l="1"/>
  <c r="L18" i="8"/>
  <c r="O22" i="8"/>
  <c r="B84" i="10"/>
  <c r="C79" i="8" s="1"/>
  <c r="H24" i="12"/>
  <c r="H27" i="12" s="1"/>
  <c r="F135" i="13" s="1"/>
  <c r="H135" i="13" s="1"/>
  <c r="H141" i="13" s="1"/>
  <c r="F141" i="13" s="1"/>
  <c r="T20" i="8"/>
  <c r="K20" i="8"/>
  <c r="R20" i="8" s="1"/>
  <c r="T14" i="8"/>
  <c r="R22" i="8"/>
  <c r="J18" i="8"/>
  <c r="T18" i="8"/>
  <c r="J11" i="8"/>
  <c r="E82" i="8"/>
  <c r="E83" i="8" s="1"/>
  <c r="D74" i="8"/>
  <c r="F20" i="8"/>
  <c r="H20" i="8" s="1"/>
  <c r="H13" i="8"/>
  <c r="D76" i="8"/>
  <c r="D82" i="8" s="1"/>
  <c r="D83" i="8" s="1"/>
  <c r="O16" i="8"/>
  <c r="P16" i="8" s="1"/>
  <c r="H16" i="8"/>
  <c r="C106" i="10"/>
  <c r="D51" i="8"/>
  <c r="D52" i="8" s="1"/>
  <c r="H14" i="8"/>
  <c r="M18" i="8"/>
  <c r="N18" i="8" s="1"/>
  <c r="F21" i="8"/>
  <c r="J21" i="8" s="1"/>
  <c r="F17" i="8"/>
  <c r="J17" i="8" s="1"/>
  <c r="F12" i="8"/>
  <c r="J12" i="8" s="1"/>
  <c r="F15" i="8"/>
  <c r="J15" i="8" s="1"/>
  <c r="F10" i="8"/>
  <c r="J10" i="8" s="1"/>
  <c r="P13" i="8"/>
  <c r="F19" i="8"/>
  <c r="J19" i="8" s="1"/>
  <c r="P20" i="8"/>
  <c r="R11" i="8"/>
  <c r="L11" i="8"/>
  <c r="T11" i="8" s="1"/>
  <c r="J14" i="8"/>
  <c r="N16" i="8"/>
  <c r="T16" i="8"/>
  <c r="F22" i="8"/>
  <c r="H22" i="8" s="1"/>
  <c r="L22" i="8"/>
  <c r="P22" i="8" s="1"/>
  <c r="N22" i="8"/>
  <c r="J16" i="8"/>
  <c r="P18" i="8"/>
  <c r="T13" i="8"/>
  <c r="J13" i="8"/>
  <c r="N14" i="8"/>
  <c r="O14" i="8"/>
  <c r="P14" i="8" s="1"/>
  <c r="E51" i="8"/>
  <c r="E52" i="8" s="1"/>
  <c r="O11" i="8"/>
  <c r="H11" i="8"/>
  <c r="H18" i="8"/>
  <c r="H28" i="12" l="1"/>
  <c r="N20" i="8"/>
  <c r="R24" i="8"/>
  <c r="R28" i="8" s="1"/>
  <c r="P11" i="8"/>
  <c r="J20" i="8"/>
  <c r="D84" i="8"/>
  <c r="D63" i="8"/>
  <c r="D68" i="8" s="1"/>
  <c r="D69" i="8" s="1"/>
  <c r="C67" i="10"/>
  <c r="D53" i="8"/>
  <c r="G10" i="8" s="1"/>
  <c r="K24" i="8"/>
  <c r="N11" i="8"/>
  <c r="N24" i="8" s="1"/>
  <c r="P24" i="8"/>
  <c r="P27" i="8" s="1"/>
  <c r="L24" i="8"/>
  <c r="J22" i="8"/>
  <c r="T22" i="8"/>
  <c r="T24" i="8" s="1"/>
  <c r="G15" i="8" l="1"/>
  <c r="H15" i="8" s="1"/>
  <c r="G17" i="8"/>
  <c r="H17" i="8" s="1"/>
  <c r="G12" i="8"/>
  <c r="H12" i="8" s="1"/>
  <c r="G21" i="8"/>
  <c r="J24" i="8"/>
  <c r="J27" i="8" s="1"/>
  <c r="F138" i="7" s="1"/>
  <c r="G19" i="8"/>
  <c r="H19" i="8" s="1"/>
  <c r="R27" i="8"/>
  <c r="Q24" i="8"/>
  <c r="Q28" i="8" s="1"/>
  <c r="D54" i="8"/>
  <c r="H10" i="8"/>
  <c r="D85" i="8"/>
  <c r="H21" i="8"/>
  <c r="M24" i="8"/>
  <c r="M27" i="8" s="1"/>
  <c r="D39" i="7" s="1"/>
  <c r="T27" i="8"/>
  <c r="T28" i="8"/>
  <c r="S24" i="8"/>
  <c r="S28" i="8" s="1"/>
  <c r="N28" i="8"/>
  <c r="N27" i="8"/>
  <c r="O24" i="8"/>
  <c r="O27" i="8" s="1"/>
  <c r="F86" i="7" s="1"/>
  <c r="P28" i="8"/>
  <c r="Q27" i="8" l="1"/>
  <c r="D40" i="7" s="1"/>
  <c r="J28" i="8"/>
  <c r="M28" i="8"/>
  <c r="H24" i="8"/>
  <c r="H27" i="8" s="1"/>
  <c r="F135" i="7" s="1"/>
  <c r="S27" i="8"/>
  <c r="F87" i="7" s="1"/>
  <c r="O28" i="8"/>
  <c r="F69" i="7"/>
  <c r="F140" i="7"/>
  <c r="D46" i="7"/>
  <c r="F93" i="7"/>
  <c r="H28" i="8" l="1"/>
  <c r="F134" i="7"/>
  <c r="H140" i="7" l="1"/>
  <c r="H138" i="7"/>
  <c r="H137" i="7"/>
  <c r="H136" i="7"/>
  <c r="H135" i="7"/>
  <c r="H134" i="7"/>
  <c r="H133" i="7"/>
  <c r="H132" i="7"/>
  <c r="H131" i="7"/>
  <c r="H130" i="7"/>
  <c r="H129" i="7"/>
  <c r="H128" i="7"/>
  <c r="H125" i="7"/>
  <c r="H124" i="7"/>
  <c r="H122" i="7"/>
  <c r="H121" i="7"/>
  <c r="H120" i="7"/>
  <c r="H119" i="7"/>
  <c r="H118" i="7"/>
  <c r="H117" i="7"/>
  <c r="H115" i="7"/>
  <c r="H114" i="7"/>
  <c r="H113" i="7"/>
  <c r="H112" i="7"/>
  <c r="H111" i="7"/>
  <c r="H110" i="7"/>
  <c r="H109" i="7"/>
  <c r="H108" i="7"/>
  <c r="H107" i="7"/>
  <c r="H106" i="7"/>
  <c r="H105" i="7"/>
  <c r="H92" i="7"/>
  <c r="H91" i="7"/>
  <c r="H90" i="7"/>
  <c r="H89" i="7"/>
  <c r="H88" i="7"/>
  <c r="H87" i="7"/>
  <c r="H86" i="7"/>
  <c r="H85" i="7"/>
  <c r="H84" i="7"/>
  <c r="H83" i="7"/>
  <c r="H82" i="7"/>
  <c r="H81" i="7"/>
  <c r="H79" i="7"/>
  <c r="H78" i="7"/>
  <c r="H77" i="7"/>
  <c r="H75" i="7"/>
  <c r="H74" i="7"/>
  <c r="H73" i="7"/>
  <c r="H72" i="7"/>
  <c r="H71" i="7"/>
  <c r="H70" i="7"/>
  <c r="H69" i="7"/>
  <c r="H68" i="7"/>
  <c r="H67" i="7"/>
  <c r="H66" i="7"/>
  <c r="H65" i="7"/>
  <c r="H64" i="7"/>
  <c r="H63" i="7"/>
  <c r="H62" i="7"/>
  <c r="H61" i="7"/>
  <c r="H60" i="7"/>
  <c r="H59" i="7"/>
  <c r="H58" i="7"/>
  <c r="F123" i="7" l="1"/>
  <c r="H123" i="7" s="1"/>
  <c r="H93" i="7"/>
  <c r="F76" i="7"/>
  <c r="H76" i="7" s="1"/>
  <c r="D29" i="7"/>
  <c r="H29" i="7" s="1"/>
  <c r="H139" i="7"/>
  <c r="H127" i="7"/>
  <c r="H126" i="7"/>
  <c r="H116" i="7"/>
  <c r="H80" i="7"/>
  <c r="H46" i="7"/>
  <c r="H45" i="7"/>
  <c r="H44" i="7"/>
  <c r="H43" i="7"/>
  <c r="H42" i="7"/>
  <c r="H41" i="7"/>
  <c r="H40" i="7"/>
  <c r="H39" i="7"/>
  <c r="H38" i="7"/>
  <c r="H37" i="7"/>
  <c r="H36" i="7"/>
  <c r="H35" i="7"/>
  <c r="H34" i="7"/>
  <c r="H33" i="7"/>
  <c r="H32" i="7"/>
  <c r="H31" i="7"/>
  <c r="H30" i="7"/>
  <c r="H28" i="7"/>
  <c r="H27" i="7"/>
  <c r="H26" i="7"/>
  <c r="H25" i="7"/>
  <c r="H24" i="7"/>
  <c r="H23" i="7"/>
  <c r="H22" i="7"/>
  <c r="H21" i="7"/>
  <c r="H20" i="7"/>
  <c r="H19" i="7"/>
  <c r="H18" i="7"/>
  <c r="H17" i="7"/>
  <c r="H16" i="7"/>
  <c r="H15" i="7"/>
  <c r="H14" i="7"/>
  <c r="H13" i="7"/>
  <c r="H12" i="7"/>
  <c r="H11" i="7"/>
  <c r="H141" i="7" l="1"/>
  <c r="F141" i="7" s="1"/>
  <c r="H47" i="7"/>
  <c r="D47" i="7" s="1"/>
  <c r="H94" i="7"/>
  <c r="F94" i="7" s="1"/>
</calcChain>
</file>

<file path=xl/comments1.xml><?xml version="1.0" encoding="utf-8"?>
<comments xmlns="http://schemas.openxmlformats.org/spreadsheetml/2006/main">
  <authors>
    <author>Bereket Nigusse</author>
  </authors>
  <commentList>
    <comment ref="D12" authorId="0">
      <text>
        <r>
          <rPr>
            <sz val="9"/>
            <color indexed="81"/>
            <rFont val="Tahoma"/>
            <family val="2"/>
          </rPr>
          <t>CI: Continuous Insulation</t>
        </r>
      </text>
    </comment>
    <comment ref="D15" authorId="0">
      <text>
        <r>
          <rPr>
            <sz val="9"/>
            <color indexed="81"/>
            <rFont val="Tahoma"/>
            <family val="2"/>
          </rPr>
          <t>CI: Continuous Insulation</t>
        </r>
      </text>
    </comment>
    <comment ref="D17" authorId="0">
      <text>
        <r>
          <rPr>
            <sz val="9"/>
            <color indexed="81"/>
            <rFont val="Tahoma"/>
            <family val="2"/>
          </rPr>
          <t>CI: Continuous Insulation</t>
        </r>
      </text>
    </comment>
    <comment ref="D19" authorId="0">
      <text>
        <r>
          <rPr>
            <sz val="9"/>
            <color indexed="81"/>
            <rFont val="Tahoma"/>
            <family val="2"/>
          </rPr>
          <t>CI: Continuous Insulation</t>
        </r>
      </text>
    </comment>
    <comment ref="D21" authorId="0">
      <text>
        <r>
          <rPr>
            <sz val="9"/>
            <color indexed="81"/>
            <rFont val="Tahoma"/>
            <family val="2"/>
          </rPr>
          <t>CI: Continuous Insulation</t>
        </r>
      </text>
    </comment>
  </commentList>
</comments>
</file>

<file path=xl/sharedStrings.xml><?xml version="1.0" encoding="utf-8"?>
<sst xmlns="http://schemas.openxmlformats.org/spreadsheetml/2006/main" count="2413" uniqueCount="425">
  <si>
    <t>Slab-on-grade Floor</t>
  </si>
  <si>
    <t>Roof – gable type- 5 in 12 slope No overhangs</t>
  </si>
  <si>
    <t xml:space="preserve">        Skylight</t>
  </si>
  <si>
    <t xml:space="preserve">        Door 1 - </t>
  </si>
  <si>
    <t xml:space="preserve">        Window 1 – Vinyl Frame Low-e Double</t>
  </si>
  <si>
    <t>Wall 2 –faces East, CBS</t>
  </si>
  <si>
    <t xml:space="preserve">        Window 2 – Vinyl Frame Low-e Double</t>
  </si>
  <si>
    <t>Wall 3 –faces South, CBS</t>
  </si>
  <si>
    <t xml:space="preserve">        Window 3 – Vinyl Frame Low-e Double</t>
  </si>
  <si>
    <t xml:space="preserve">        Window 4 – Vinyl Frame  Low-e Double</t>
  </si>
  <si>
    <t>Wall 5 –faces West, CBS</t>
  </si>
  <si>
    <t xml:space="preserve">        Window 5 – Vinyl Frame Low-e Double</t>
  </si>
  <si>
    <t>Infiltration</t>
  </si>
  <si>
    <t>Heating – heat pump</t>
  </si>
  <si>
    <t>Cooling – heat pump</t>
  </si>
  <si>
    <t>Ducts – supply in attic</t>
  </si>
  <si>
    <t>Ducts – return in conditioned space</t>
  </si>
  <si>
    <t>Duct Tightness</t>
  </si>
  <si>
    <t>Air Handler – in conditioned space</t>
  </si>
  <si>
    <t>Mechanical Ventilation</t>
  </si>
  <si>
    <t>Hot Water System - electric</t>
  </si>
  <si>
    <t>All Hot Water Lines</t>
  </si>
  <si>
    <t>Hot Water Circulation -none</t>
  </si>
  <si>
    <t>Lighting</t>
  </si>
  <si>
    <t>Pool and Spa - none</t>
  </si>
  <si>
    <t>Florida Prescriptive Test</t>
  </si>
  <si>
    <t>House Pr-T01</t>
  </si>
  <si>
    <t xml:space="preserve">Software Name: </t>
  </si>
  <si>
    <t>R402.1 R-value Method</t>
  </si>
  <si>
    <t>Test Result</t>
  </si>
  <si>
    <t>Floor</t>
  </si>
  <si>
    <t>U-Value too high</t>
  </si>
  <si>
    <t>R-Value too low</t>
  </si>
  <si>
    <t>Roof</t>
  </si>
  <si>
    <t>Ceiling</t>
  </si>
  <si>
    <t>Skylight</t>
  </si>
  <si>
    <t>Wall</t>
  </si>
  <si>
    <t>Window</t>
  </si>
  <si>
    <t>Door</t>
  </si>
  <si>
    <t>Heating</t>
  </si>
  <si>
    <t>Cooling</t>
  </si>
  <si>
    <t>SupplyDucts</t>
  </si>
  <si>
    <t>ReturnDucts</t>
  </si>
  <si>
    <t>DuctTightness</t>
  </si>
  <si>
    <t>AIrHandler</t>
  </si>
  <si>
    <t>MechanicalVent</t>
  </si>
  <si>
    <t>HotWaterSystem</t>
  </si>
  <si>
    <t>HotWaterLines</t>
  </si>
  <si>
    <t>HotWaterCirculation</t>
  </si>
  <si>
    <t>PoolandSpa</t>
  </si>
  <si>
    <t>Solar Absorptance too high</t>
  </si>
  <si>
    <t>SHGC too high</t>
  </si>
  <si>
    <t>Leakage too high</t>
  </si>
  <si>
    <t>AFUE too low</t>
  </si>
  <si>
    <t>HSPF too low</t>
  </si>
  <si>
    <t>SEER too low</t>
  </si>
  <si>
    <t>Not part of software</t>
  </si>
  <si>
    <t>Location not allowed</t>
  </si>
  <si>
    <t>Ventilation too low</t>
  </si>
  <si>
    <t>Ventilation too high</t>
  </si>
  <si>
    <t>EF too low</t>
  </si>
  <si>
    <t>Insulation too low</t>
  </si>
  <si>
    <t>Insufficient controls</t>
  </si>
  <si>
    <t>Not applicable</t>
  </si>
  <si>
    <t>OverallFenU</t>
  </si>
  <si>
    <t>OverallFenSHGC</t>
  </si>
  <si>
    <t>TotalUA</t>
  </si>
  <si>
    <t>Total UA too high</t>
  </si>
  <si>
    <t>Heater Efficiency too low</t>
  </si>
  <si>
    <t>No cover</t>
  </si>
  <si>
    <t>U-Factor too high</t>
  </si>
  <si>
    <t>Total Thermal Envelope UA Value</t>
  </si>
  <si>
    <t>Total Thermal Envelope UA Result</t>
  </si>
  <si>
    <t>Average U too high</t>
  </si>
  <si>
    <t>Average SHGC too high</t>
  </si>
  <si>
    <t>R-Value Method</t>
  </si>
  <si>
    <t>R402.1.3 U-Factor Alternative Method</t>
  </si>
  <si>
    <t>U-Factor</t>
  </si>
  <si>
    <t>Baseline Thermal Envelope UA Value</t>
  </si>
  <si>
    <t>R402.1.4 Total UA Alternative Method</t>
  </si>
  <si>
    <t>UCalcMethod</t>
  </si>
  <si>
    <t>Parallel and Series</t>
  </si>
  <si>
    <t>Modified Zone</t>
  </si>
  <si>
    <t>Parallel Path</t>
  </si>
  <si>
    <t>Grey cells do not need entries</t>
  </si>
  <si>
    <t>Test Result:</t>
  </si>
  <si>
    <t>Value</t>
  </si>
  <si>
    <t>Calculation Method</t>
  </si>
  <si>
    <t>U-Factor Calculation</t>
  </si>
  <si>
    <t xml:space="preserve"> Method Test Result</t>
  </si>
  <si>
    <t>Method Test Result</t>
  </si>
  <si>
    <t>House Pr-T02</t>
  </si>
  <si>
    <t>House Complies?</t>
  </si>
  <si>
    <t>Complies</t>
  </si>
  <si>
    <t>Test Result for Software:</t>
  </si>
  <si>
    <t>House Pr-T03</t>
  </si>
  <si>
    <t>Wall 2 –faces East, Wood Frame</t>
  </si>
  <si>
    <t>Wall 3 –faces South, Wood Frame</t>
  </si>
  <si>
    <t xml:space="preserve">        Window 3 – Metal Frame, Single Pane</t>
  </si>
  <si>
    <t xml:space="preserve">Wall 4 –faces South, Wood Frame </t>
  </si>
  <si>
    <t>Wall 5 –faces West, Wood Frame</t>
  </si>
  <si>
    <t>House Pr-M01</t>
  </si>
  <si>
    <t>House Pr-M02</t>
  </si>
  <si>
    <t xml:space="preserve">        Window 1 – Vinyl Frame Impact Resistance Glass</t>
  </si>
  <si>
    <t>Wall 2 –faces South, Steel Frame</t>
  </si>
  <si>
    <t xml:space="preserve">        Window 2 – Vinyl Frame Impact Resistance Glass</t>
  </si>
  <si>
    <t>Wall 3 –faces South, Steel Frame</t>
  </si>
  <si>
    <t xml:space="preserve">        Window 3 – Vinyl Frame Impact Resistance Glass</t>
  </si>
  <si>
    <t xml:space="preserve">        Window 4 – Vinyl Frame  Impact Resistance Glass</t>
  </si>
  <si>
    <t>Wall 5 –faces West, Steel Frame</t>
  </si>
  <si>
    <t xml:space="preserve">        Window 5 – Vinyl Frame Impact Resistance Glass</t>
  </si>
  <si>
    <t>House Pr-M03</t>
  </si>
  <si>
    <t>Enter software result in yellow highlighted areas.</t>
  </si>
  <si>
    <t>Test results in pale green indicate if software produced expected results.</t>
  </si>
  <si>
    <t>Area Weighted Fenestration U-Factor Value</t>
  </si>
  <si>
    <t>Area Weighted Fenestration SHGC Value</t>
  </si>
  <si>
    <t>Area Weighted Fenestration U-Factor Result</t>
  </si>
  <si>
    <t>Area Weighted Fenestration SHGC Result</t>
  </si>
  <si>
    <t>Isothermal-Planes</t>
  </si>
  <si>
    <t>Yes</t>
  </si>
  <si>
    <t>No</t>
  </si>
  <si>
    <t>Fenestration Area</t>
  </si>
  <si>
    <t>Rvalue Method</t>
  </si>
  <si>
    <t>Uvalue Method</t>
  </si>
  <si>
    <t>Proposed Home</t>
  </si>
  <si>
    <t>Reference Home</t>
  </si>
  <si>
    <t>Envelope Name</t>
  </si>
  <si>
    <t>Envelope Type</t>
  </si>
  <si>
    <t>Gross Area</t>
  </si>
  <si>
    <t>Net Area</t>
  </si>
  <si>
    <t>UA-Value Reference</t>
  </si>
  <si>
    <t>UA-Value</t>
  </si>
  <si>
    <t>SHGC</t>
  </si>
  <si>
    <t>SHGC x Area</t>
  </si>
  <si>
    <t>Home Total UA Value</t>
  </si>
  <si>
    <t>UA allowed deviation range in %</t>
  </si>
  <si>
    <t>Range</t>
  </si>
  <si>
    <t>U-Factor allowed deviation range absolute</t>
  </si>
  <si>
    <t>Low</t>
  </si>
  <si>
    <t>SHGC allowed deviation range absolute</t>
  </si>
  <si>
    <t>High</t>
  </si>
  <si>
    <t>Envelope Types</t>
  </si>
  <si>
    <t>U-Factor Calculation Method</t>
  </si>
  <si>
    <t>Wall CBS</t>
  </si>
  <si>
    <t>Wall Wood-Framed</t>
  </si>
  <si>
    <t>Window Vinyl Frame Double Low-e</t>
  </si>
  <si>
    <t>Construction Layers</t>
  </si>
  <si>
    <t>Insulated Cavity Path</t>
  </si>
  <si>
    <t>Studs Path</t>
  </si>
  <si>
    <t>Source</t>
  </si>
  <si>
    <t>Fraction of Wall Area</t>
  </si>
  <si>
    <t>Attic Air film</t>
  </si>
  <si>
    <t>PNNL- 20797, Page A.3</t>
  </si>
  <si>
    <t>Wood Stud 2 x 4: Nominal</t>
  </si>
  <si>
    <t>2013 ASHRAE HBF, Page 27.3</t>
  </si>
  <si>
    <t>2013 ASHRAE HBF Table 1, Page 26.8</t>
  </si>
  <si>
    <t>Indoor Air film</t>
  </si>
  <si>
    <t>2013 ASHRAE HBF Table 10, Page 26.20</t>
  </si>
  <si>
    <t>Total Resistances of Each Path</t>
  </si>
  <si>
    <t>Total U-Values of Each Paths</t>
  </si>
  <si>
    <t>U-Value of Assembly</t>
  </si>
  <si>
    <t>R-Value of Assmbly</t>
  </si>
  <si>
    <t>Outside Air Film (7.5 mph wind, Summer)</t>
  </si>
  <si>
    <t>2013 ASHRAE HBF Table 1, Page 26.11</t>
  </si>
  <si>
    <t>lath</t>
  </si>
  <si>
    <t>2013 ASHRAE HBF Table 1, Page 26.10</t>
  </si>
  <si>
    <t>2013 ASHRAE HBF Table 3, Page 26.13</t>
  </si>
  <si>
    <t>Indoor Air Film</t>
  </si>
  <si>
    <t>Plywood Exterior 0.5 Inch</t>
  </si>
  <si>
    <t>Total Resistances of the Parellel Paths</t>
  </si>
  <si>
    <t>U-Value of the Parallel Paths</t>
  </si>
  <si>
    <t>Values</t>
  </si>
  <si>
    <t>Units</t>
  </si>
  <si>
    <t>Thinckness</t>
  </si>
  <si>
    <t>Inch</t>
  </si>
  <si>
    <t>Block Width</t>
  </si>
  <si>
    <t>Block Length</t>
  </si>
  <si>
    <t>Web Thickness</t>
  </si>
  <si>
    <t>Face Shell Thickness</t>
  </si>
  <si>
    <t>Concrete Resistance Per inch</t>
  </si>
  <si>
    <t>Code Insulation (expanded perlite) Resistance Per Inch</t>
  </si>
  <si>
    <t xml:space="preserve">Shall (Face) Resistance </t>
  </si>
  <si>
    <t>Web Resistance</t>
  </si>
  <si>
    <t>Core (Insulated) Resistance</t>
  </si>
  <si>
    <t>Area Fraction of Web</t>
  </si>
  <si>
    <t>-</t>
  </si>
  <si>
    <t>Area Fraction of Core</t>
  </si>
  <si>
    <t>Hollow Block Total Resistance</t>
  </si>
  <si>
    <t>(h-ft2-°F)/Btu</t>
  </si>
  <si>
    <t>2013 ASHRAE HBF:  2013 ASHRAE Handbooks of Fundamentals</t>
  </si>
  <si>
    <t>PNNL- 20797: R Bartlett, RW Schultz, LM Connell, ZT Taylor, K Gowri, JD Wiberg, and RG Lucas. 2012. Methodology for Developing the REScheckTM Software through Version 4.4.3</t>
  </si>
  <si>
    <t>Parameter</t>
  </si>
  <si>
    <t>Size</t>
  </si>
  <si>
    <t>Efficiency Level</t>
  </si>
  <si>
    <t>Conditioned Floor Area</t>
  </si>
  <si>
    <t>NA</t>
  </si>
  <si>
    <t>50x40 perimeter</t>
  </si>
  <si>
    <t>No insulation</t>
  </si>
  <si>
    <t>50 ft wide x 10 ft high</t>
  </si>
  <si>
    <t>40 ft wide x 10 ft high</t>
  </si>
  <si>
    <t>10 ft wide x 10 ft high</t>
  </si>
  <si>
    <t>21,000 Btu/hr</t>
  </si>
  <si>
    <t>400 ft2</t>
  </si>
  <si>
    <t>100 ft2</t>
  </si>
  <si>
    <t>None</t>
  </si>
  <si>
    <t>N/A</t>
  </si>
  <si>
    <t>50 gallon</t>
  </si>
  <si>
    <t xml:space="preserve">Runs  10 - 35 feet </t>
  </si>
  <si>
    <t>100 installed fixtures</t>
  </si>
  <si>
    <t>R-Value, U-Factor, or Others</t>
  </si>
  <si>
    <t>SHGC, Solar Absorptance</t>
  </si>
  <si>
    <t>Layers from outside-to-Inside</t>
  </si>
  <si>
    <t>Resistance</t>
  </si>
  <si>
    <t>8 Inch Hollow Concrete Block (Normal Density)</t>
  </si>
  <si>
    <t>0.75 Inch Air Space with Furring at 16" on center</t>
  </si>
  <si>
    <t xml:space="preserve">0.5 Inch Drywall </t>
  </si>
  <si>
    <t>Construction: Insulated Concrete Block</t>
  </si>
  <si>
    <t>Fraction of Framing Area</t>
  </si>
  <si>
    <t>Area</t>
  </si>
  <si>
    <t>Construction: Wood Framed Ceiling</t>
  </si>
  <si>
    <t>Construction: Wood Framed Wall</t>
  </si>
  <si>
    <r>
      <t>Stucco (0.8 Inch thick, conductivity=9.7 Btu-in/h-ft</t>
    </r>
    <r>
      <rPr>
        <vertAlign val="superscript"/>
        <sz val="10"/>
        <color theme="1"/>
        <rFont val="Arial"/>
        <family val="2"/>
      </rPr>
      <t>2</t>
    </r>
    <r>
      <rPr>
        <sz val="10"/>
        <color theme="1"/>
        <rFont val="Arial"/>
        <family val="2"/>
      </rPr>
      <t>-°F)</t>
    </r>
  </si>
  <si>
    <t>Fraction of wood framing Area</t>
  </si>
  <si>
    <t>Insulated Concrete Block Data Sources: 2013 ASHRAE HBF Page 27.4 and Table 3, Page 26.13</t>
  </si>
  <si>
    <t xml:space="preserve">Heading of the U-Factor and UA Value Calculation worksheets </t>
  </si>
  <si>
    <t>U-Factor Proposed</t>
  </si>
  <si>
    <t>UA-Value Proposed</t>
  </si>
  <si>
    <t>U-Factor Reference</t>
  </si>
  <si>
    <t>U-Factor Method</t>
  </si>
  <si>
    <t>Proposed U-Factor</t>
  </si>
  <si>
    <t>Standard UA-Value</t>
  </si>
  <si>
    <t>Proposed UA-Value</t>
  </si>
  <si>
    <t>Proposed SHGC</t>
  </si>
  <si>
    <t>Proposed SHGCxA-Value</t>
  </si>
  <si>
    <t>Standard U-Factors</t>
  </si>
  <si>
    <t>Envelope Geometry (Area)</t>
  </si>
  <si>
    <t>Compliance Method Fenestration Area</t>
  </si>
  <si>
    <t>Window Area Weighted Avg Proposed U-Factor</t>
  </si>
  <si>
    <t>Window Area Weighted Avg Proposed SHGC</t>
  </si>
  <si>
    <t>Wood Framed Wall</t>
  </si>
  <si>
    <t>Insulated Concrete Block</t>
  </si>
  <si>
    <t>Wood Framed Ceiling</t>
  </si>
  <si>
    <t xml:space="preserve"> </t>
  </si>
  <si>
    <t xml:space="preserve">Complies, Failure Issue or </t>
  </si>
  <si>
    <t>Complies, Failure Issue or</t>
  </si>
  <si>
    <r>
      <t>2000 ft</t>
    </r>
    <r>
      <rPr>
        <vertAlign val="superscript"/>
        <sz val="10"/>
        <color theme="1"/>
        <rFont val="Arial"/>
        <family val="2"/>
      </rPr>
      <t>2</t>
    </r>
  </si>
  <si>
    <r>
      <t>2167 ft</t>
    </r>
    <r>
      <rPr>
        <vertAlign val="superscript"/>
        <sz val="10"/>
        <color theme="1"/>
        <rFont val="Arial"/>
        <family val="2"/>
      </rPr>
      <t>2</t>
    </r>
    <r>
      <rPr>
        <sz val="10"/>
        <color theme="1"/>
        <rFont val="Arial"/>
        <family val="2"/>
      </rPr>
      <t xml:space="preserve"> above 2000 ft</t>
    </r>
    <r>
      <rPr>
        <vertAlign val="superscript"/>
        <sz val="10"/>
        <color theme="1"/>
        <rFont val="Arial"/>
        <family val="2"/>
      </rPr>
      <t xml:space="preserve">2 </t>
    </r>
    <r>
      <rPr>
        <sz val="10"/>
        <color theme="1"/>
        <rFont val="Arial"/>
        <family val="2"/>
      </rPr>
      <t xml:space="preserve">conditioned </t>
    </r>
    <r>
      <rPr>
        <vertAlign val="superscript"/>
        <sz val="10"/>
        <color theme="1"/>
        <rFont val="Arial"/>
        <family val="2"/>
      </rPr>
      <t xml:space="preserve"> </t>
    </r>
    <r>
      <rPr>
        <sz val="10"/>
        <color theme="1"/>
        <rFont val="Arial"/>
        <family val="2"/>
      </rPr>
      <t>space</t>
    </r>
  </si>
  <si>
    <r>
      <t>Ceiling</t>
    </r>
    <r>
      <rPr>
        <vertAlign val="superscript"/>
        <sz val="10"/>
        <color theme="1"/>
        <rFont val="Arial"/>
        <family val="2"/>
      </rPr>
      <t>1</t>
    </r>
    <r>
      <rPr>
        <sz val="10"/>
        <color theme="1"/>
        <rFont val="Arial"/>
        <family val="2"/>
      </rPr>
      <t xml:space="preserve"> –flat under attic</t>
    </r>
  </si>
  <si>
    <r>
      <t>10 ft</t>
    </r>
    <r>
      <rPr>
        <vertAlign val="superscript"/>
        <sz val="10"/>
        <color theme="1"/>
        <rFont val="Arial"/>
        <family val="2"/>
      </rPr>
      <t>2</t>
    </r>
  </si>
  <si>
    <r>
      <t>24 ft</t>
    </r>
    <r>
      <rPr>
        <vertAlign val="superscript"/>
        <sz val="10"/>
        <color theme="1"/>
        <rFont val="Arial"/>
        <family val="2"/>
      </rPr>
      <t>2</t>
    </r>
  </si>
  <si>
    <r>
      <t>75 ft</t>
    </r>
    <r>
      <rPr>
        <vertAlign val="superscript"/>
        <sz val="10"/>
        <color theme="1"/>
        <rFont val="Arial"/>
        <family val="2"/>
      </rPr>
      <t>2</t>
    </r>
  </si>
  <si>
    <r>
      <t>15 ft</t>
    </r>
    <r>
      <rPr>
        <vertAlign val="superscript"/>
        <sz val="10"/>
        <color theme="1"/>
        <rFont val="Arial"/>
        <family val="2"/>
      </rPr>
      <t>2</t>
    </r>
  </si>
  <si>
    <r>
      <t>60 ft</t>
    </r>
    <r>
      <rPr>
        <vertAlign val="superscript"/>
        <sz val="10"/>
        <color theme="1"/>
        <rFont val="Arial"/>
        <family val="2"/>
      </rPr>
      <t>2</t>
    </r>
  </si>
  <si>
    <r>
      <t>1</t>
    </r>
    <r>
      <rPr>
        <sz val="10"/>
        <color theme="1"/>
        <rFont val="Arial"/>
        <family val="2"/>
      </rPr>
      <t xml:space="preserve"> Layers from outside: Attic air, R30 batt insulation with 2x4 framing with 11% framing fraction, ½” drywall</t>
    </r>
  </si>
  <si>
    <r>
      <t>2</t>
    </r>
    <r>
      <rPr>
        <sz val="10"/>
        <color rgb="FFFF0000"/>
        <rFont val="Arial"/>
        <family val="2"/>
      </rPr>
      <t xml:space="preserve"> CBS layers from outside: stucco, lathe, 8” normal density perlite insulated core concrete block, ¾” R4  insulation board, ¾” airspace with furring at 16” on center, and ½” drywall. Solar absorbtance = 0.5.</t>
    </r>
  </si>
  <si>
    <r>
      <t xml:space="preserve">3 </t>
    </r>
    <r>
      <rPr>
        <sz val="10"/>
        <color theme="1"/>
        <rFont val="Arial"/>
        <family val="2"/>
      </rPr>
      <t>Wood frame wall layers from outside: stucco, ½” exterior plywood, 2x4 frame with R-13 fiberglass batt insulation with a 25% total framing fraction, and ½” drywall. Solar absorbtance = 0.5.</t>
    </r>
  </si>
  <si>
    <t xml:space="preserve">Prescriptive Test: House M03 (Pr-M03) Characteristics – Location: Miami, Florida. </t>
  </si>
  <si>
    <t>PNNL- 20797, Table A.1, Page A.3</t>
  </si>
  <si>
    <t>Concrete Block Parameters</t>
  </si>
  <si>
    <t>Allowed Error Margins</t>
  </si>
  <si>
    <t>Batt Indulation R-Value</t>
  </si>
  <si>
    <t>Summary of Standard Reference Home U-Factors: Florida Energy Code</t>
  </si>
  <si>
    <t>R-Value Prescriptive Methods Allowed Area</t>
  </si>
  <si>
    <r>
      <t>Door Area Minimum, ft</t>
    </r>
    <r>
      <rPr>
        <vertAlign val="superscript"/>
        <sz val="11"/>
        <color theme="1"/>
        <rFont val="Calibri"/>
        <family val="2"/>
        <scheme val="minor"/>
      </rPr>
      <t>2</t>
    </r>
  </si>
  <si>
    <r>
      <t>Window Area Minimum, ft</t>
    </r>
    <r>
      <rPr>
        <vertAlign val="superscript"/>
        <sz val="11"/>
        <color theme="1"/>
        <rFont val="Calibri"/>
        <family val="2"/>
        <scheme val="minor"/>
      </rPr>
      <t>2</t>
    </r>
  </si>
  <si>
    <t>Air Space Resistance</t>
  </si>
  <si>
    <t>Core (un Insulated) Resistance</t>
  </si>
  <si>
    <t>8 Inch Insulated Concrete Block (Normal Density)</t>
  </si>
  <si>
    <r>
      <t>2000 ft</t>
    </r>
    <r>
      <rPr>
        <vertAlign val="superscript"/>
        <sz val="10"/>
        <color theme="1"/>
        <rFont val="Calibri"/>
        <family val="2"/>
        <scheme val="minor"/>
      </rPr>
      <t>2</t>
    </r>
  </si>
  <si>
    <r>
      <t>2167 ft</t>
    </r>
    <r>
      <rPr>
        <vertAlign val="superscript"/>
        <sz val="10"/>
        <color theme="1"/>
        <rFont val="Calibri"/>
        <family val="2"/>
        <scheme val="minor"/>
      </rPr>
      <t>2</t>
    </r>
    <r>
      <rPr>
        <sz val="10"/>
        <color theme="1"/>
        <rFont val="Calibri"/>
        <family val="2"/>
        <scheme val="minor"/>
      </rPr>
      <t xml:space="preserve"> above 2000 ft</t>
    </r>
    <r>
      <rPr>
        <vertAlign val="superscript"/>
        <sz val="10"/>
        <color theme="1"/>
        <rFont val="Calibri"/>
        <family val="2"/>
        <scheme val="minor"/>
      </rPr>
      <t xml:space="preserve">2 </t>
    </r>
    <r>
      <rPr>
        <sz val="10"/>
        <color theme="1"/>
        <rFont val="Calibri"/>
        <family val="2"/>
        <scheme val="minor"/>
      </rPr>
      <t xml:space="preserve">conditioned </t>
    </r>
    <r>
      <rPr>
        <vertAlign val="superscript"/>
        <sz val="10"/>
        <color theme="1"/>
        <rFont val="Calibri"/>
        <family val="2"/>
        <scheme val="minor"/>
      </rPr>
      <t xml:space="preserve"> </t>
    </r>
    <r>
      <rPr>
        <sz val="10"/>
        <color theme="1"/>
        <rFont val="Calibri"/>
        <family val="2"/>
        <scheme val="minor"/>
      </rPr>
      <t>space</t>
    </r>
  </si>
  <si>
    <r>
      <t>10 ft</t>
    </r>
    <r>
      <rPr>
        <vertAlign val="superscript"/>
        <sz val="10"/>
        <color theme="1"/>
        <rFont val="Calibri"/>
        <family val="2"/>
        <scheme val="minor"/>
      </rPr>
      <t>2</t>
    </r>
  </si>
  <si>
    <t>R4 insulated on inside</t>
  </si>
  <si>
    <r>
      <t>24 ft</t>
    </r>
    <r>
      <rPr>
        <vertAlign val="superscript"/>
        <sz val="10"/>
        <color theme="1"/>
        <rFont val="Calibri"/>
        <family val="2"/>
        <scheme val="minor"/>
      </rPr>
      <t>2</t>
    </r>
  </si>
  <si>
    <r>
      <t>2</t>
    </r>
    <r>
      <rPr>
        <sz val="11"/>
        <color theme="1"/>
        <rFont val="Calibri"/>
        <family val="2"/>
        <scheme val="minor"/>
      </rPr>
      <t xml:space="preserve"> </t>
    </r>
    <r>
      <rPr>
        <sz val="10"/>
        <color theme="1"/>
        <rFont val="Calibri"/>
        <family val="2"/>
        <scheme val="minor"/>
      </rPr>
      <t>CBS layers from outside: stucco, lathe, 8” normal density hollow core concrete block, ¾” R4  insulation board, ¾” airspace with furring at 16” on center, and ½” drywall. Solar absorbtance = 0.5.</t>
    </r>
  </si>
  <si>
    <r>
      <t xml:space="preserve">3 </t>
    </r>
    <r>
      <rPr>
        <sz val="10"/>
        <color theme="1"/>
        <rFont val="Calibri"/>
        <family val="2"/>
        <scheme val="minor"/>
      </rPr>
      <t>Wood frame wall layers from outside: stucco, ½” exterior plywood, 2x4 frame with R-13 fiberglass batt insulation with a 25% total framing fraction, and ½” drywall. Solar absorbtance = 0.5.</t>
    </r>
  </si>
  <si>
    <r>
      <t>1</t>
    </r>
    <r>
      <rPr>
        <sz val="10"/>
        <color theme="1"/>
        <rFont val="Arial"/>
        <family val="2"/>
      </rPr>
      <t xml:space="preserve"> Layers from outside: Attic air, R38 batt insulation with 2x4 framing with 7% framing fraction, ½” drywall</t>
    </r>
  </si>
  <si>
    <t>lathe</t>
  </si>
  <si>
    <t>0.5 Inch Plywood Exterior</t>
  </si>
  <si>
    <t>Prescriptive Calculation for the Proposed and Standard Reference Home Located in Miami Florida (ASHRAE Climate Zone 1)</t>
  </si>
  <si>
    <t xml:space="preserve">Prescriptive Test: House M01 (Pr-M01) Characteristics – Location: Miami, Florida. </t>
  </si>
  <si>
    <r>
      <t>Wall 1 –faces North, CBS</t>
    </r>
    <r>
      <rPr>
        <vertAlign val="superscript"/>
        <sz val="10"/>
        <color theme="1"/>
        <rFont val="Arial"/>
        <family val="2"/>
      </rPr>
      <t>2</t>
    </r>
  </si>
  <si>
    <r>
      <t>Wall 4 –faces South, Wood</t>
    </r>
    <r>
      <rPr>
        <vertAlign val="superscript"/>
        <sz val="10"/>
        <color theme="1"/>
        <rFont val="Arial"/>
        <family val="2"/>
      </rPr>
      <t>3</t>
    </r>
    <r>
      <rPr>
        <sz val="10"/>
        <color theme="1"/>
        <rFont val="Arial"/>
        <family val="2"/>
      </rPr>
      <t xml:space="preserve"> 2x4 Stud</t>
    </r>
  </si>
  <si>
    <t>Single Family Detached Home with No Attached Garage, Single Story, Three bedroom.</t>
  </si>
  <si>
    <t>Ducts – Return in Conditioned Space</t>
  </si>
  <si>
    <t>Air Handler – in Conditioned Space</t>
  </si>
  <si>
    <r>
      <rPr>
        <b/>
        <sz val="10"/>
        <color rgb="FFC00000"/>
        <rFont val="Arial"/>
        <family val="2"/>
      </rPr>
      <t xml:space="preserve"> R</t>
    </r>
    <r>
      <rPr>
        <b/>
        <sz val="10"/>
        <color rgb="FFFF0000"/>
        <rFont val="Arial"/>
        <family val="2"/>
      </rPr>
      <t>ed type illustrates rows with differences from M01</t>
    </r>
  </si>
  <si>
    <t xml:space="preserve">Single Family Detached Home with No Attached Garage, Single Story, Three bedroom. </t>
  </si>
  <si>
    <t>Less than required efficiency</t>
  </si>
  <si>
    <r>
      <t>House Volume = 20,000ft</t>
    </r>
    <r>
      <rPr>
        <vertAlign val="superscript"/>
        <sz val="10"/>
        <color theme="1"/>
        <rFont val="Arial"/>
        <family val="2"/>
      </rPr>
      <t>3</t>
    </r>
    <r>
      <rPr>
        <sz val="10"/>
        <color theme="1"/>
        <rFont val="Arial"/>
        <family val="2"/>
      </rPr>
      <t xml:space="preserve"> </t>
    </r>
  </si>
  <si>
    <r>
      <t>Leakage cfm/ft</t>
    </r>
    <r>
      <rPr>
        <vertAlign val="superscript"/>
        <sz val="10"/>
        <color theme="1"/>
        <rFont val="Arial"/>
        <family val="2"/>
      </rPr>
      <t>2</t>
    </r>
    <r>
      <rPr>
        <sz val="10"/>
        <color theme="1"/>
        <rFont val="Arial"/>
        <family val="2"/>
      </rPr>
      <t xml:space="preserve"> post construction</t>
    </r>
  </si>
  <si>
    <t>Energy Factor (EF)</t>
  </si>
  <si>
    <t>Insulation R-Value</t>
  </si>
  <si>
    <t>Inside Insulation R-Value</t>
  </si>
  <si>
    <t>ACH50</t>
  </si>
  <si>
    <t>HSPF</t>
  </si>
  <si>
    <t>SEER</t>
  </si>
  <si>
    <t>Cavity Insulation R-Value</t>
  </si>
  <si>
    <t>Solar Absorptance</t>
  </si>
  <si>
    <t>Fixtures Compact Fluorescent, Percent</t>
  </si>
  <si>
    <t>U-Factor and SHGC</t>
  </si>
  <si>
    <t>Measures / Parameters</t>
  </si>
  <si>
    <t>Leakage Percent of Air Flow Rate Max</t>
  </si>
  <si>
    <t>Floor Insulation R-Value</t>
  </si>
  <si>
    <r>
      <t>75 ft</t>
    </r>
    <r>
      <rPr>
        <vertAlign val="superscript"/>
        <sz val="10"/>
        <color rgb="FFFF0000"/>
        <rFont val="Calibri"/>
        <family val="2"/>
        <scheme val="minor"/>
      </rPr>
      <t>2</t>
    </r>
  </si>
  <si>
    <r>
      <t>15 ft</t>
    </r>
    <r>
      <rPr>
        <vertAlign val="superscript"/>
        <sz val="10"/>
        <color rgb="FFFF0000"/>
        <rFont val="Calibri"/>
        <family val="2"/>
        <scheme val="minor"/>
      </rPr>
      <t>2</t>
    </r>
  </si>
  <si>
    <r>
      <t>60 ft</t>
    </r>
    <r>
      <rPr>
        <vertAlign val="superscript"/>
        <sz val="10"/>
        <color rgb="FFFF0000"/>
        <rFont val="Calibri"/>
        <family val="2"/>
        <scheme val="minor"/>
      </rPr>
      <t>2</t>
    </r>
  </si>
  <si>
    <t xml:space="preserve">Prescriptive Test: House M02 (Pr-M02) Characteristics – Location: Miami, Florida. </t>
  </si>
  <si>
    <t xml:space="preserve">Steel framed Wall Construction U-Value Calculation </t>
  </si>
  <si>
    <t>Steel frame wall layers from outside: stucco, ½” exterior plywood, 2x4 steel frame with R-13 fiberglass batt insulation with 16 " on center, and ½” drywall. Solar absorbtance = 0.5</t>
  </si>
  <si>
    <t>Inputs Data and Assumptions:</t>
  </si>
  <si>
    <t>Thickness, in</t>
  </si>
  <si>
    <t>R-Value, h·ft2·°F/Btu</t>
  </si>
  <si>
    <t>Stucco</t>
  </si>
  <si>
    <t>Cavity Insulation R-13</t>
  </si>
  <si>
    <t>Drywall 0.5 Inch</t>
  </si>
  <si>
    <t>Metal Studs Depth</t>
  </si>
  <si>
    <t>Studs Center to Center Spacing</t>
  </si>
  <si>
    <t>Studs Flange Facing Width</t>
  </si>
  <si>
    <t>2013 ASHRAE HBF, Page 27.5</t>
  </si>
  <si>
    <t>Studs Metal Thickness</t>
  </si>
  <si>
    <t>Steel Resistance</t>
  </si>
  <si>
    <t>h·ft2·°F/Btu</t>
  </si>
  <si>
    <r>
      <t>Step 1: Determine Zone Factor, Z</t>
    </r>
    <r>
      <rPr>
        <vertAlign val="subscript"/>
        <sz val="11"/>
        <color theme="1"/>
        <rFont val="Calibri"/>
        <family val="2"/>
        <scheme val="minor"/>
      </rPr>
      <t>f</t>
    </r>
  </si>
  <si>
    <t xml:space="preserve">Element </t>
  </si>
  <si>
    <t xml:space="preserve">Value </t>
  </si>
  <si>
    <t>in</t>
  </si>
  <si>
    <t>h·ft2·°F/Btu-in</t>
  </si>
  <si>
    <t>Step 2: Calculate width of Affected Zone W:</t>
  </si>
  <si>
    <t>Thickness of Exterior Insulating Materials</t>
  </si>
  <si>
    <t xml:space="preserve">Step 3. Calculate the exterior and interior thermal resistances, using information from step 1 </t>
  </si>
  <si>
    <t>Exterior materials</t>
  </si>
  <si>
    <t>Step 4. Calculate the thermal resistance of the sections in zone around the metal element</t>
  </si>
  <si>
    <t>h·ft2·°F/Btu·in</t>
  </si>
  <si>
    <t>Calculate the constributing Resistances:</t>
  </si>
  <si>
    <t>Assembly R-Value (without the air film resistances)</t>
  </si>
  <si>
    <t>Assembly U-Value</t>
  </si>
  <si>
    <t xml:space="preserve">Stud spacing, s </t>
  </si>
  <si>
    <t>Resistivity of Stucco, ri</t>
  </si>
  <si>
    <t>Resistivity of Plywood, ri</t>
  </si>
  <si>
    <t>Resistivity of cavity insulation, rins</t>
  </si>
  <si>
    <t>Ratio, ri /rins</t>
  </si>
  <si>
    <t>Zone factor from chart (Stud of 3.5 depth), Zf</t>
  </si>
  <si>
    <r>
      <t>Sum of resistances of exterior materials, R</t>
    </r>
    <r>
      <rPr>
        <vertAlign val="subscript"/>
        <sz val="11"/>
        <color theme="1"/>
        <rFont val="Calibri"/>
        <family val="2"/>
        <scheme val="minor"/>
      </rPr>
      <t>A</t>
    </r>
  </si>
  <si>
    <r>
      <t>Thickness of interior material, d</t>
    </r>
    <r>
      <rPr>
        <vertAlign val="subscript"/>
        <sz val="11"/>
        <color theme="1"/>
        <rFont val="Calibri"/>
        <family val="2"/>
        <scheme val="minor"/>
      </rPr>
      <t>j</t>
    </r>
  </si>
  <si>
    <r>
      <t>Resistivity of interior material, r</t>
    </r>
    <r>
      <rPr>
        <vertAlign val="subscript"/>
        <sz val="11"/>
        <color theme="1"/>
        <rFont val="Calibri"/>
        <family val="2"/>
        <scheme val="minor"/>
      </rPr>
      <t>j</t>
    </r>
  </si>
  <si>
    <r>
      <t>Resistance of interior material, R</t>
    </r>
    <r>
      <rPr>
        <vertAlign val="subscript"/>
        <sz val="11"/>
        <color theme="1"/>
        <rFont val="Calibri"/>
        <family val="2"/>
        <scheme val="minor"/>
      </rPr>
      <t>B</t>
    </r>
  </si>
  <si>
    <r>
      <t>Thickness of first exterior material, d</t>
    </r>
    <r>
      <rPr>
        <vertAlign val="subscript"/>
        <sz val="11"/>
        <color theme="1"/>
        <rFont val="Calibri"/>
        <family val="2"/>
        <scheme val="minor"/>
      </rPr>
      <t xml:space="preserve">e </t>
    </r>
  </si>
  <si>
    <r>
      <t>Resistivity of first exterior material, r</t>
    </r>
    <r>
      <rPr>
        <vertAlign val="subscript"/>
        <sz val="11"/>
        <color theme="1"/>
        <rFont val="Calibri"/>
        <family val="2"/>
        <scheme val="minor"/>
      </rPr>
      <t xml:space="preserve">e  </t>
    </r>
  </si>
  <si>
    <t>Affected Zone Thickness, W</t>
  </si>
  <si>
    <t>Flange Length (Facing width), L</t>
  </si>
  <si>
    <r>
      <t>Interior Dimension Between Metal Flanges, d</t>
    </r>
    <r>
      <rPr>
        <vertAlign val="subscript"/>
        <sz val="11"/>
        <color theme="1"/>
        <rFont val="Calibri"/>
        <family val="2"/>
        <scheme val="minor"/>
      </rPr>
      <t>I</t>
    </r>
  </si>
  <si>
    <r>
      <t>Thickness of Metal Flanges (both Sides), d</t>
    </r>
    <r>
      <rPr>
        <vertAlign val="subscript"/>
        <sz val="11"/>
        <color theme="1"/>
        <rFont val="Calibri"/>
        <family val="2"/>
        <scheme val="minor"/>
      </rPr>
      <t>II</t>
    </r>
  </si>
  <si>
    <r>
      <t>Cavity Thickness, d</t>
    </r>
    <r>
      <rPr>
        <vertAlign val="subscript"/>
        <sz val="11"/>
        <color theme="1"/>
        <rFont val="Calibri"/>
        <family val="2"/>
        <scheme val="minor"/>
      </rPr>
      <t>s</t>
    </r>
  </si>
  <si>
    <r>
      <t>Resistance of Insulation Section I (Rins, I), d</t>
    </r>
    <r>
      <rPr>
        <vertAlign val="subscript"/>
        <sz val="11"/>
        <color theme="1"/>
        <rFont val="Calibri"/>
        <family val="2"/>
        <scheme val="minor"/>
      </rPr>
      <t>xri, I</t>
    </r>
  </si>
  <si>
    <r>
      <t>Resistance of Insulation Section I (Rins, II), d</t>
    </r>
    <r>
      <rPr>
        <vertAlign val="subscript"/>
        <sz val="11"/>
        <color theme="1"/>
        <rFont val="Calibri"/>
        <family val="2"/>
        <scheme val="minor"/>
      </rPr>
      <t>xri, II</t>
    </r>
  </si>
  <si>
    <r>
      <t>Resistance of Metal Section I (Rmet, I), d</t>
    </r>
    <r>
      <rPr>
        <vertAlign val="subscript"/>
        <sz val="11"/>
        <color theme="1"/>
        <rFont val="Calibri"/>
        <family val="2"/>
        <scheme val="minor"/>
      </rPr>
      <t>xrmet, I</t>
    </r>
  </si>
  <si>
    <r>
      <t>Resistance of Metal Section II (Rmet, II), d</t>
    </r>
    <r>
      <rPr>
        <vertAlign val="subscript"/>
        <sz val="11"/>
        <color theme="1"/>
        <rFont val="Calibri"/>
        <family val="2"/>
        <scheme val="minor"/>
      </rPr>
      <t>xrmet, II</t>
    </r>
  </si>
  <si>
    <r>
      <t>Resistivity of Metal , r</t>
    </r>
    <r>
      <rPr>
        <vertAlign val="subscript"/>
        <sz val="11"/>
        <color theme="1"/>
        <rFont val="Calibri"/>
        <family val="2"/>
        <scheme val="minor"/>
      </rPr>
      <t>met</t>
    </r>
  </si>
  <si>
    <r>
      <t>Ressistance at Web, R</t>
    </r>
    <r>
      <rPr>
        <vertAlign val="subscript"/>
        <sz val="11"/>
        <color theme="1"/>
        <rFont val="Calibri"/>
        <family val="2"/>
        <scheme val="minor"/>
      </rPr>
      <t>I</t>
    </r>
    <r>
      <rPr>
        <sz val="11"/>
        <color theme="1"/>
        <rFont val="Calibri"/>
        <family val="2"/>
        <scheme val="minor"/>
      </rPr>
      <t xml:space="preserve"> </t>
    </r>
  </si>
  <si>
    <r>
      <t>Ressistance at flange, R</t>
    </r>
    <r>
      <rPr>
        <vertAlign val="subscript"/>
        <sz val="11"/>
        <color theme="1"/>
        <rFont val="Calibri"/>
        <family val="2"/>
        <scheme val="minor"/>
      </rPr>
      <t>II</t>
    </r>
  </si>
  <si>
    <r>
      <t xml:space="preserve">Sum of Resistances at cavity, </t>
    </r>
    <r>
      <rPr>
        <sz val="11"/>
        <color theme="1"/>
        <rFont val="Symbol"/>
        <family val="1"/>
        <charset val="2"/>
      </rPr>
      <t>å</t>
    </r>
    <r>
      <rPr>
        <sz val="11"/>
        <color theme="1"/>
        <rFont val="Calibri"/>
        <family val="2"/>
        <scheme val="minor"/>
      </rPr>
      <t>R</t>
    </r>
    <r>
      <rPr>
        <vertAlign val="subscript"/>
        <sz val="11"/>
        <color theme="1"/>
        <rFont val="Calibri"/>
        <family val="2"/>
        <scheme val="minor"/>
      </rPr>
      <t>cav</t>
    </r>
  </si>
  <si>
    <r>
      <t xml:space="preserve">Sum of Resistances at Zone W, </t>
    </r>
    <r>
      <rPr>
        <sz val="11"/>
        <color theme="1"/>
        <rFont val="Symbol"/>
        <family val="1"/>
        <charset val="2"/>
      </rPr>
      <t>å</t>
    </r>
    <r>
      <rPr>
        <sz val="11"/>
        <color theme="1"/>
        <rFont val="Calibri"/>
        <family val="2"/>
        <scheme val="minor"/>
      </rPr>
      <t>R</t>
    </r>
    <r>
      <rPr>
        <vertAlign val="subscript"/>
        <sz val="11"/>
        <color theme="1"/>
        <rFont val="Calibri"/>
        <family val="2"/>
        <scheme val="minor"/>
      </rPr>
      <t>W</t>
    </r>
  </si>
  <si>
    <t>Cavity Depth</t>
  </si>
  <si>
    <t>Stucco Thickness</t>
  </si>
  <si>
    <t>Stucco Resistance</t>
  </si>
  <si>
    <t>Thickness, Inch</t>
  </si>
  <si>
    <t>Layers and Frame Materials</t>
  </si>
  <si>
    <t xml:space="preserve">Steall Framed Wall </t>
  </si>
  <si>
    <t>Steel stud 2x4, 16 Inch on Center, Depth</t>
  </si>
  <si>
    <t>Layers from outside: Air, R19 batt insulation and 2x6 trusses with 15% framing fraction, ¾” plywood, R2 carpet</t>
  </si>
  <si>
    <t>RaisedFloor</t>
  </si>
  <si>
    <t>Fraction of Floor Area</t>
  </si>
  <si>
    <t>Crawl Space Air film</t>
  </si>
  <si>
    <t>Batt Insulation (R19)</t>
  </si>
  <si>
    <t>Wood Stud 2 x 6: Nominal</t>
  </si>
  <si>
    <t>Plywood 0.75 Inch</t>
  </si>
  <si>
    <t>Carpet (R2)</t>
  </si>
  <si>
    <t>Floor Framing Fraction</t>
  </si>
  <si>
    <t>Construction: Raised Floor</t>
  </si>
  <si>
    <t>Ceiling Wood Framing Fraction</t>
  </si>
  <si>
    <r>
      <t>2</t>
    </r>
    <r>
      <rPr>
        <sz val="10"/>
        <color theme="1"/>
        <rFont val="Times New Roman"/>
        <family val="1"/>
      </rPr>
      <t xml:space="preserve"> CBS layers from outside: stucco, lathe, 8” normal density hollow core concrete block, 1 inch R6  insulation board, ¾” airspace with furring at 16” on center, and ½” drywall. Solar absorbtance = 0.5.</t>
    </r>
  </si>
  <si>
    <r>
      <t xml:space="preserve">3 </t>
    </r>
    <r>
      <rPr>
        <sz val="10"/>
        <color theme="1"/>
        <rFont val="Times New Roman"/>
        <family val="1"/>
      </rPr>
      <t>Wood frame wall layers from outside: stucco, ½” exterior plywood, 2x4 frame with R-13 fiberglass batt insulation with a 25% total framing fraction, and ½” drywall. Solar absorbtance = 0.5.</t>
    </r>
  </si>
  <si>
    <t>Hollow Concrete Block</t>
  </si>
  <si>
    <t>Construction: Hollow Concrete Block</t>
  </si>
  <si>
    <t xml:space="preserve">        Door 1 </t>
  </si>
  <si>
    <t xml:space="preserve">        Window 1 – Metal Frame Double Clear</t>
  </si>
  <si>
    <t>1 Layers from outside: Attic air, R38 batt insulation with 2x4 framing with 7% framing fraction, ½” drywall</t>
  </si>
  <si>
    <t>Window Metal Frame Double Clear</t>
  </si>
  <si>
    <t>Window Metal Frame Single Pane</t>
  </si>
  <si>
    <r>
      <t>Ceiling</t>
    </r>
    <r>
      <rPr>
        <vertAlign val="superscript"/>
        <sz val="10"/>
        <color rgb="FFFF0000"/>
        <rFont val="Calibri"/>
        <family val="2"/>
        <scheme val="minor"/>
      </rPr>
      <t>1</t>
    </r>
    <r>
      <rPr>
        <sz val="10"/>
        <color rgb="FFFF0000"/>
        <rFont val="Calibri"/>
        <family val="2"/>
        <scheme val="minor"/>
      </rPr>
      <t xml:space="preserve"> –flat under attic</t>
    </r>
  </si>
  <si>
    <r>
      <t>2000 ft</t>
    </r>
    <r>
      <rPr>
        <vertAlign val="superscript"/>
        <sz val="10"/>
        <color rgb="FFFF0000"/>
        <rFont val="Calibri"/>
        <family val="2"/>
        <scheme val="minor"/>
      </rPr>
      <t>2</t>
    </r>
  </si>
  <si>
    <r>
      <t>Wall 1 –faces North, Wood Frame</t>
    </r>
    <r>
      <rPr>
        <vertAlign val="superscript"/>
        <sz val="10"/>
        <color rgb="FFFF0000"/>
        <rFont val="Calibri"/>
        <family val="2"/>
        <scheme val="minor"/>
      </rPr>
      <t>2</t>
    </r>
  </si>
  <si>
    <t>SHGC, Solar Absorptance, CI R-Value</t>
  </si>
  <si>
    <r>
      <t>1</t>
    </r>
    <r>
      <rPr>
        <sz val="10"/>
        <color theme="1"/>
        <rFont val="Arial"/>
        <family val="2"/>
      </rPr>
      <t xml:space="preserve"> Layers from outside: Attic air, R30 batt insulation with 2x4 framing with 7% framing fraction, ½” drywall</t>
    </r>
  </si>
  <si>
    <t>Cavity + Continuous Insulation R-Value</t>
  </si>
  <si>
    <t>Fraction of Ceiling Area</t>
  </si>
  <si>
    <r>
      <t>24 ft</t>
    </r>
    <r>
      <rPr>
        <vertAlign val="superscript"/>
        <sz val="10"/>
        <color rgb="FFFF0000"/>
        <rFont val="Arial"/>
        <family val="2"/>
      </rPr>
      <t>2</t>
    </r>
  </si>
  <si>
    <r>
      <t>75 ft</t>
    </r>
    <r>
      <rPr>
        <vertAlign val="superscript"/>
        <sz val="10"/>
        <color rgb="FFFF0000"/>
        <rFont val="Arial"/>
        <family val="2"/>
      </rPr>
      <t>2</t>
    </r>
  </si>
  <si>
    <r>
      <t>15 ft</t>
    </r>
    <r>
      <rPr>
        <vertAlign val="superscript"/>
        <sz val="10"/>
        <color rgb="FFFF0000"/>
        <rFont val="Arial"/>
        <family val="2"/>
      </rPr>
      <t>2</t>
    </r>
  </si>
  <si>
    <r>
      <t>Wall 4 –faces South, Wood</t>
    </r>
    <r>
      <rPr>
        <vertAlign val="superscript"/>
        <sz val="10"/>
        <color theme="1"/>
        <rFont val="Arial"/>
        <family val="2"/>
      </rPr>
      <t>3</t>
    </r>
    <r>
      <rPr>
        <sz val="10"/>
        <color theme="1"/>
        <rFont val="Arial"/>
        <family val="2"/>
      </rPr>
      <t xml:space="preserve"> 2x4 Studs</t>
    </r>
  </si>
  <si>
    <r>
      <t>60 ft</t>
    </r>
    <r>
      <rPr>
        <vertAlign val="superscript"/>
        <sz val="10"/>
        <color rgb="FFFF0000"/>
        <rFont val="Arial"/>
        <family val="2"/>
      </rPr>
      <t>2</t>
    </r>
  </si>
  <si>
    <r>
      <t>2</t>
    </r>
    <r>
      <rPr>
        <sz val="10"/>
        <color theme="1"/>
        <rFont val="Arial"/>
        <family val="2"/>
      </rPr>
      <t xml:space="preserve"> CBS layers from outside: stucco, lathe, 8” normal density hollow core concrete block, 1 inch R6  insulation board, ¾” airspace with furring at 16” on center, and ½” drywall. Solar absorbtance = 0.5.</t>
    </r>
  </si>
  <si>
    <r>
      <t xml:space="preserve">3 </t>
    </r>
    <r>
      <rPr>
        <sz val="10"/>
        <color theme="1"/>
        <rFont val="Arial"/>
        <family val="2"/>
      </rPr>
      <t>Wood frame wall layers from outside: stucco, ½” exterior plywood, 2x4 frame with R-13 fiberglass batt insulation with a 25% total framing fraction, and ½” drywall. Solar absorbtance = 0.5</t>
    </r>
  </si>
  <si>
    <t>Measures</t>
  </si>
  <si>
    <t>Compliance Parameters</t>
  </si>
  <si>
    <r>
      <t>Raised Floor</t>
    </r>
    <r>
      <rPr>
        <vertAlign val="superscript"/>
        <sz val="10"/>
        <rFont val="Arial"/>
        <family val="2"/>
      </rPr>
      <t>1</t>
    </r>
  </si>
  <si>
    <r>
      <t>2000 ft</t>
    </r>
    <r>
      <rPr>
        <vertAlign val="superscript"/>
        <sz val="10"/>
        <color rgb="FFFF0000"/>
        <rFont val="Arial"/>
        <family val="2"/>
      </rPr>
      <t>2</t>
    </r>
    <r>
      <rPr>
        <sz val="10"/>
        <color rgb="FFFF0000"/>
        <rFont val="Arial"/>
        <family val="2"/>
      </rPr>
      <t xml:space="preserve"> </t>
    </r>
  </si>
  <si>
    <r>
      <t>Ceiling</t>
    </r>
    <r>
      <rPr>
        <vertAlign val="superscript"/>
        <sz val="10"/>
        <rFont val="Arial"/>
        <family val="2"/>
      </rPr>
      <t>2</t>
    </r>
    <r>
      <rPr>
        <sz val="10"/>
        <rFont val="Arial"/>
        <family val="2"/>
      </rPr>
      <t xml:space="preserve"> –flat under attic</t>
    </r>
  </si>
  <si>
    <r>
      <t>Wall 1 –faces North, Steel Frame</t>
    </r>
    <r>
      <rPr>
        <vertAlign val="superscript"/>
        <sz val="10"/>
        <rFont val="Arial"/>
        <family val="2"/>
      </rPr>
      <t>3</t>
    </r>
  </si>
  <si>
    <r>
      <t>Wall 4 –faces South, Wood</t>
    </r>
    <r>
      <rPr>
        <vertAlign val="superscript"/>
        <sz val="10"/>
        <rFont val="Arial"/>
        <family val="2"/>
      </rPr>
      <t>4</t>
    </r>
    <r>
      <rPr>
        <sz val="10"/>
        <rFont val="Arial"/>
        <family val="2"/>
      </rPr>
      <t xml:space="preserve"> 2x4 </t>
    </r>
  </si>
  <si>
    <r>
      <rPr>
        <b/>
        <sz val="10"/>
        <color rgb="FFC00000"/>
        <rFont val="Arial"/>
        <family val="2"/>
      </rPr>
      <t xml:space="preserve"> R</t>
    </r>
    <r>
      <rPr>
        <b/>
        <sz val="10"/>
        <color rgb="FFFF0000"/>
        <rFont val="Arial"/>
        <family val="2"/>
      </rPr>
      <t>ed type illustrates rows with differences from T01</t>
    </r>
  </si>
  <si>
    <t>Asphalt Building Paper #30 (equivalent)</t>
  </si>
  <si>
    <t>2012 ASHRAE HBF Table 1, Page 26.8</t>
  </si>
  <si>
    <r>
      <rPr>
        <vertAlign val="superscript"/>
        <sz val="10"/>
        <color theme="1"/>
        <rFont val="Arial"/>
        <family val="2"/>
      </rPr>
      <t>2</t>
    </r>
    <r>
      <rPr>
        <sz val="10"/>
        <color theme="1"/>
        <rFont val="Arial"/>
        <family val="2"/>
      </rPr>
      <t xml:space="preserve"> Wood frame wall layers from outside: synthetic stucco applied over R5 rigid insulation, #30 asphalt building paper, ½” exterior plywood, 2x4 frame with R-13 fiberglass batt insulation with a 25% total framing fraction, and ½” drywall. Solar absorbtance = 0.5</t>
    </r>
  </si>
  <si>
    <t>Prescriptive Calculation for the Proposed and Standard Reference Home Located in Tampa Florida (ASHRAE Climate Zone 2)</t>
  </si>
  <si>
    <t xml:space="preserve">Prescriptive Test: House T01 (Pr-T01) Characteristics – Location: Tampa, Florida. </t>
  </si>
  <si>
    <t xml:space="preserve">Prescriptive Test: House T02 (Pr-T02) Characteristics – Location: Tampa, Florida. </t>
  </si>
  <si>
    <t xml:space="preserve">Prescriptive Test: House T03 (Pr-T03) Characteristics – Location: Tampa, Florida. </t>
  </si>
  <si>
    <t>Duct Insulation R-Value</t>
  </si>
  <si>
    <t>Ceiling Wood-Framed</t>
  </si>
  <si>
    <t>Wall Steel-Framed</t>
  </si>
  <si>
    <r>
      <t>Wall 1 –faces North, insulated core CBS</t>
    </r>
    <r>
      <rPr>
        <vertAlign val="superscript"/>
        <sz val="10"/>
        <color rgb="FFFF0000"/>
        <rFont val="Arial"/>
        <family val="2"/>
      </rPr>
      <t>2</t>
    </r>
  </si>
  <si>
    <t>Wall 2 –faces East, insulated core CBS</t>
  </si>
  <si>
    <t>Wall 3 –faces South,  insulated core CBS</t>
  </si>
  <si>
    <t>Wall 5 –faces West,  insulated core CBS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</si>
</sst>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
    <numFmt numFmtId="166" formatCode="0.0000"/>
    <numFmt numFmtId="167" formatCode="0.0%"/>
    <numFmt numFmtId="168" formatCode="0.00000"/>
    <numFmt numFmtId="169" formatCode="0.0E+00"/>
  </numFmts>
  <fonts count="41" x14ac:knownFonts="1">
    <font>
      <sz val="11"/>
      <color theme="1"/>
      <name val="Calibri"/>
      <family val="2"/>
      <scheme val="minor"/>
    </font>
    <font>
      <sz val="10"/>
      <color theme="1"/>
      <name val="Calibri"/>
      <family val="2"/>
      <scheme val="minor"/>
    </font>
    <font>
      <vertAlign val="superscript"/>
      <sz val="10"/>
      <color theme="1"/>
      <name val="Calibri"/>
      <family val="2"/>
      <scheme val="minor"/>
    </font>
    <font>
      <b/>
      <sz val="11"/>
      <color theme="1"/>
      <name val="Calibri"/>
      <family val="2"/>
      <scheme val="minor"/>
    </font>
    <font>
      <b/>
      <sz val="11"/>
      <color rgb="FFFF0000"/>
      <name val="Calibri"/>
      <family val="2"/>
      <scheme val="minor"/>
    </font>
    <font>
      <sz val="20"/>
      <color theme="1"/>
      <name val="Calibri"/>
      <family val="2"/>
      <scheme val="minor"/>
    </font>
    <font>
      <b/>
      <sz val="20"/>
      <color rgb="FFFF0000"/>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1"/>
      <color rgb="FF000066"/>
      <name val="Calibri"/>
      <family val="2"/>
      <scheme val="minor"/>
    </font>
    <font>
      <sz val="10"/>
      <color theme="1"/>
      <name val="Arial"/>
      <family val="2"/>
    </font>
    <font>
      <sz val="11"/>
      <color rgb="FF000066"/>
      <name val="Calibri"/>
      <family val="2"/>
      <scheme val="minor"/>
    </font>
    <font>
      <b/>
      <sz val="11"/>
      <color rgb="FF000066"/>
      <name val="Arial"/>
      <family val="2"/>
    </font>
    <font>
      <b/>
      <sz val="12"/>
      <color rgb="FFFF0000"/>
      <name val="Calibri"/>
      <family val="2"/>
      <scheme val="minor"/>
    </font>
    <font>
      <sz val="10"/>
      <color rgb="FF000066"/>
      <name val="Arial"/>
      <family val="2"/>
    </font>
    <font>
      <vertAlign val="superscript"/>
      <sz val="10"/>
      <color theme="1"/>
      <name val="Arial"/>
      <family val="2"/>
    </font>
    <font>
      <sz val="10"/>
      <color rgb="FFFF0000"/>
      <name val="Arial"/>
      <family val="2"/>
    </font>
    <font>
      <vertAlign val="superscript"/>
      <sz val="10"/>
      <color rgb="FFFF0000"/>
      <name val="Arial"/>
      <family val="2"/>
    </font>
    <font>
      <b/>
      <sz val="10"/>
      <color rgb="FF000066"/>
      <name val="Arial"/>
      <family val="2"/>
    </font>
    <font>
      <sz val="10"/>
      <name val="Arial"/>
      <family val="2"/>
    </font>
    <font>
      <b/>
      <sz val="10"/>
      <color theme="1"/>
      <name val="Arial"/>
      <family val="2"/>
    </font>
    <font>
      <b/>
      <sz val="10"/>
      <color rgb="FFFF0000"/>
      <name val="Arial"/>
      <family val="2"/>
    </font>
    <font>
      <b/>
      <sz val="10"/>
      <color rgb="FFC00000"/>
      <name val="Arial"/>
      <family val="2"/>
    </font>
    <font>
      <vertAlign val="superscript"/>
      <sz val="11"/>
      <color theme="1"/>
      <name val="Calibri"/>
      <family val="2"/>
      <scheme val="minor"/>
    </font>
    <font>
      <vertAlign val="superscript"/>
      <sz val="10"/>
      <color theme="1"/>
      <name val="Times New Roman"/>
      <family val="1"/>
    </font>
    <font>
      <sz val="10"/>
      <color theme="1"/>
      <name val="Times New Roman"/>
      <family val="1"/>
    </font>
    <font>
      <sz val="10"/>
      <color rgb="FFFF0000"/>
      <name val="Calibri"/>
      <family val="2"/>
      <scheme val="minor"/>
    </font>
    <font>
      <vertAlign val="superscript"/>
      <sz val="10"/>
      <color rgb="FFFF0000"/>
      <name val="Calibri"/>
      <family val="2"/>
      <scheme val="minor"/>
    </font>
    <font>
      <sz val="10"/>
      <color rgb="FFC00000"/>
      <name val="Arial"/>
      <family val="2"/>
    </font>
    <font>
      <vertAlign val="subscript"/>
      <sz val="11"/>
      <color theme="1"/>
      <name val="Calibri"/>
      <family val="2"/>
      <scheme val="minor"/>
    </font>
    <font>
      <sz val="11"/>
      <color theme="1"/>
      <name val="Symbol"/>
      <family val="1"/>
      <charset val="2"/>
    </font>
    <font>
      <sz val="11"/>
      <color theme="1"/>
      <name val="Calibri"/>
      <family val="2"/>
    </font>
    <font>
      <sz val="11"/>
      <color theme="1"/>
      <name val="Arial"/>
      <family val="2"/>
    </font>
    <font>
      <vertAlign val="superscript"/>
      <sz val="11"/>
      <color theme="1"/>
      <name val="Arial"/>
      <family val="2"/>
    </font>
    <font>
      <sz val="9"/>
      <color indexed="81"/>
      <name val="Tahoma"/>
      <family val="2"/>
    </font>
    <font>
      <b/>
      <sz val="11"/>
      <color theme="1"/>
      <name val="Arial"/>
      <family val="2"/>
    </font>
    <font>
      <vertAlign val="superscript"/>
      <sz val="10"/>
      <name val="Arial"/>
      <family val="2"/>
    </font>
    <font>
      <b/>
      <sz val="12"/>
      <color rgb="FF000066"/>
      <name val="Calibri"/>
      <family val="2"/>
      <scheme val="minor"/>
    </font>
    <font>
      <sz val="11"/>
      <color rgb="FFC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theme="9" tint="0.79998168889431442"/>
        <bgColor indexed="64"/>
      </patternFill>
    </fill>
    <fill>
      <patternFill patternType="solid">
        <fgColor theme="5"/>
        <bgColor indexed="64"/>
      </patternFill>
    </fill>
    <fill>
      <patternFill patternType="solid">
        <fgColor rgb="FF7030A0"/>
        <bgColor indexed="64"/>
      </patternFill>
    </fill>
    <fill>
      <patternFill patternType="solid">
        <fgColor theme="0" tint="-0.249977111117893"/>
        <bgColor indexed="64"/>
      </patternFill>
    </fill>
    <fill>
      <patternFill patternType="solid">
        <fgColor rgb="FFB8CCE4"/>
        <bgColor indexed="64"/>
      </patternFill>
    </fill>
    <fill>
      <patternFill patternType="solid">
        <fgColor rgb="FFBDD6EE"/>
        <bgColor indexed="64"/>
      </patternFill>
    </fill>
    <fill>
      <patternFill patternType="solid">
        <fgColor rgb="FFFFC000"/>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9" fontId="9" fillId="0" borderId="0" applyFont="0" applyFill="0" applyBorder="0" applyAlignment="0" applyProtection="0"/>
  </cellStyleXfs>
  <cellXfs count="496">
    <xf numFmtId="0" fontId="0" fillId="0" borderId="0" xfId="0"/>
    <xf numFmtId="0" fontId="0" fillId="2" borderId="0" xfId="0" applyFill="1"/>
    <xf numFmtId="0" fontId="0" fillId="4" borderId="0" xfId="0" applyFill="1"/>
    <xf numFmtId="0" fontId="0" fillId="5" borderId="0" xfId="0" applyFill="1"/>
    <xf numFmtId="0" fontId="3" fillId="0" borderId="0" xfId="0" applyFont="1"/>
    <xf numFmtId="0" fontId="1" fillId="0" borderId="0" xfId="0" applyFont="1" applyBorder="1" applyAlignment="1">
      <alignment vertical="center" wrapText="1"/>
    </xf>
    <xf numFmtId="0" fontId="0" fillId="0" borderId="0" xfId="0" applyFill="1" applyBorder="1" applyAlignment="1">
      <alignment horizontal="center"/>
    </xf>
    <xf numFmtId="0" fontId="0" fillId="0" borderId="0" xfId="0" applyFill="1" applyBorder="1"/>
    <xf numFmtId="0" fontId="0" fillId="3" borderId="0" xfId="0" applyFill="1"/>
    <xf numFmtId="0" fontId="0" fillId="0" borderId="0" xfId="0" quotePrefix="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right"/>
    </xf>
    <xf numFmtId="0" fontId="0" fillId="6" borderId="0" xfId="0" applyFill="1"/>
    <xf numFmtId="0" fontId="0" fillId="7" borderId="0" xfId="0" applyFill="1"/>
    <xf numFmtId="0" fontId="5" fillId="0" borderId="0" xfId="0" applyFont="1" applyAlignment="1">
      <alignment horizontal="right"/>
    </xf>
    <xf numFmtId="0" fontId="6" fillId="0" borderId="0" xfId="0" applyFont="1" applyAlignment="1">
      <alignment horizontal="center"/>
    </xf>
    <xf numFmtId="0" fontId="0" fillId="6" borderId="0" xfId="0" applyFill="1" applyAlignment="1">
      <alignment horizontal="right"/>
    </xf>
    <xf numFmtId="0" fontId="4" fillId="6" borderId="0" xfId="0" applyFont="1" applyFill="1" applyAlignment="1">
      <alignment horizontal="center"/>
    </xf>
    <xf numFmtId="0" fontId="7" fillId="0" borderId="0" xfId="0" applyFont="1"/>
    <xf numFmtId="0" fontId="7" fillId="6" borderId="0" xfId="0" applyFont="1" applyFill="1"/>
    <xf numFmtId="0" fontId="7" fillId="4" borderId="0" xfId="0" applyFont="1" applyFill="1"/>
    <xf numFmtId="0" fontId="8" fillId="0" borderId="0" xfId="0" applyFont="1"/>
    <xf numFmtId="0" fontId="7" fillId="7" borderId="0" xfId="0" applyFont="1" applyFill="1"/>
    <xf numFmtId="0" fontId="5" fillId="0" borderId="0" xfId="0" applyFont="1" applyAlignment="1" applyProtection="1">
      <alignment horizontal="right"/>
      <protection locked="0"/>
    </xf>
    <xf numFmtId="0" fontId="0" fillId="4" borderId="0" xfId="0" applyFill="1" applyProtection="1">
      <protection locked="0"/>
    </xf>
    <xf numFmtId="0" fontId="0" fillId="0" borderId="0" xfId="0" applyProtection="1">
      <protection locked="0"/>
    </xf>
    <xf numFmtId="0" fontId="0" fillId="7" borderId="0" xfId="0" applyFill="1" applyProtection="1">
      <protection locked="0"/>
    </xf>
    <xf numFmtId="0" fontId="0" fillId="3" borderId="0" xfId="0" applyFill="1" applyProtection="1">
      <protection locked="0"/>
    </xf>
    <xf numFmtId="0" fontId="3" fillId="0" borderId="0" xfId="0" applyFont="1" applyAlignment="1" applyProtection="1">
      <alignment horizontal="center"/>
      <protection locked="0"/>
    </xf>
    <xf numFmtId="0" fontId="7" fillId="2" borderId="0" xfId="0" applyFont="1" applyFill="1"/>
    <xf numFmtId="0" fontId="7" fillId="5" borderId="0" xfId="0" applyFont="1" applyFill="1"/>
    <xf numFmtId="0" fontId="11" fillId="8"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165" fontId="0" fillId="0" borderId="24" xfId="0" applyNumberFormat="1" applyBorder="1" applyAlignment="1">
      <alignment horizontal="center" vertical="center"/>
    </xf>
    <xf numFmtId="165" fontId="0" fillId="0" borderId="23" xfId="0" applyNumberFormat="1" applyBorder="1" applyAlignment="1">
      <alignment horizontal="center" vertical="center"/>
    </xf>
    <xf numFmtId="0" fontId="0" fillId="0" borderId="23" xfId="0" quotePrefix="1"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3" fillId="8" borderId="11" xfId="0" applyFont="1" applyFill="1" applyBorder="1" applyAlignment="1">
      <alignment vertical="center"/>
    </xf>
    <xf numFmtId="0" fontId="11" fillId="8" borderId="29" xfId="0" applyFont="1" applyFill="1" applyBorder="1" applyAlignment="1">
      <alignment vertical="center"/>
    </xf>
    <xf numFmtId="0" fontId="0" fillId="0" borderId="31" xfId="0"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ill="1" applyBorder="1" applyAlignment="1">
      <alignment vertical="center"/>
    </xf>
    <xf numFmtId="165" fontId="14"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166" fontId="15" fillId="0" borderId="0" xfId="0" applyNumberFormat="1" applyFont="1" applyFill="1" applyBorder="1" applyAlignment="1">
      <alignment horizontal="center" vertical="center"/>
    </xf>
    <xf numFmtId="167" fontId="0" fillId="0" borderId="0" xfId="1" applyNumberFormat="1" applyFont="1" applyAlignment="1">
      <alignment horizontal="center" vertical="center"/>
    </xf>
    <xf numFmtId="0" fontId="0" fillId="0" borderId="0" xfId="0" applyBorder="1" applyAlignment="1">
      <alignment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166" fontId="0" fillId="0" borderId="0" xfId="0" applyNumberFormat="1" applyAlignment="1">
      <alignment horizontal="center" vertical="center"/>
    </xf>
    <xf numFmtId="0" fontId="0" fillId="0" borderId="33" xfId="0" applyBorder="1" applyAlignment="1">
      <alignment vertical="center"/>
    </xf>
    <xf numFmtId="0" fontId="0" fillId="0" borderId="33" xfId="0" applyBorder="1" applyAlignment="1">
      <alignment horizontal="left" vertical="center"/>
    </xf>
    <xf numFmtId="0" fontId="1" fillId="0" borderId="33" xfId="0" applyFont="1" applyBorder="1" applyAlignment="1">
      <alignment horizontal="center" vertical="center" wrapText="1"/>
    </xf>
    <xf numFmtId="0" fontId="0" fillId="0" borderId="12" xfId="0" applyBorder="1" applyAlignment="1">
      <alignment horizontal="left"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4" xfId="0" applyBorder="1" applyAlignment="1">
      <alignment vertical="center"/>
    </xf>
    <xf numFmtId="0" fontId="0" fillId="0" borderId="22" xfId="0" applyBorder="1" applyAlignment="1">
      <alignment vertical="center"/>
    </xf>
    <xf numFmtId="0" fontId="0" fillId="0" borderId="35" xfId="0"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0" xfId="0" applyFont="1" applyAlignment="1">
      <alignment vertical="center" wrapText="1"/>
    </xf>
    <xf numFmtId="0" fontId="12" fillId="0" borderId="9" xfId="0" applyFont="1" applyBorder="1" applyAlignment="1">
      <alignment horizontal="left" vertical="center" wrapText="1"/>
    </xf>
    <xf numFmtId="2" fontId="13" fillId="0" borderId="34" xfId="0" applyNumberFormat="1" applyFont="1" applyBorder="1" applyAlignment="1">
      <alignment horizontal="center" vertical="center"/>
    </xf>
    <xf numFmtId="2" fontId="0" fillId="0" borderId="34" xfId="0" applyNumberFormat="1" applyBorder="1" applyAlignment="1">
      <alignment horizontal="center" vertical="center"/>
    </xf>
    <xf numFmtId="0" fontId="0" fillId="0" borderId="36" xfId="0" applyBorder="1" applyAlignment="1">
      <alignment vertical="center"/>
    </xf>
    <xf numFmtId="164" fontId="0" fillId="0" borderId="34" xfId="0" applyNumberFormat="1" applyBorder="1" applyAlignment="1">
      <alignment horizontal="center" vertical="center"/>
    </xf>
    <xf numFmtId="0" fontId="0" fillId="0" borderId="12" xfId="0" applyBorder="1" applyAlignment="1">
      <alignment vertical="center"/>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22" xfId="0" applyFont="1" applyBorder="1" applyAlignment="1">
      <alignment horizontal="center" vertical="center"/>
    </xf>
    <xf numFmtId="164" fontId="13" fillId="0" borderId="11" xfId="0" applyNumberFormat="1" applyFont="1" applyBorder="1" applyAlignment="1">
      <alignment horizontal="center" vertical="center"/>
    </xf>
    <xf numFmtId="0" fontId="0" fillId="0" borderId="0" xfId="0" applyAlignment="1">
      <alignment horizontal="left" vertical="center"/>
    </xf>
    <xf numFmtId="0" fontId="0" fillId="2" borderId="1" xfId="0"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center"/>
    </xf>
    <xf numFmtId="0" fontId="13" fillId="0" borderId="9" xfId="0" applyFont="1" applyBorder="1" applyAlignment="1">
      <alignment horizontal="center" vertical="center"/>
    </xf>
    <xf numFmtId="164" fontId="13" fillId="0" borderId="34" xfId="0" applyNumberFormat="1" applyFont="1" applyBorder="1" applyAlignment="1">
      <alignment horizontal="center" vertical="center"/>
    </xf>
    <xf numFmtId="165" fontId="13" fillId="0" borderId="34"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Border="1" applyAlignment="1">
      <alignment horizontal="center" vertical="center"/>
    </xf>
    <xf numFmtId="164" fontId="13" fillId="0" borderId="36" xfId="0" applyNumberFormat="1" applyFont="1" applyBorder="1" applyAlignment="1">
      <alignment horizontal="center" vertical="center"/>
    </xf>
    <xf numFmtId="0" fontId="16" fillId="0" borderId="9" xfId="0" applyFont="1" applyBorder="1" applyAlignment="1">
      <alignment horizontal="center" vertical="center" wrapText="1"/>
    </xf>
    <xf numFmtId="165" fontId="13" fillId="0" borderId="0" xfId="0" applyNumberFormat="1" applyFont="1" applyBorder="1" applyAlignment="1">
      <alignment horizontal="center" vertical="center"/>
    </xf>
    <xf numFmtId="164" fontId="13" fillId="0" borderId="5" xfId="0" applyNumberFormat="1" applyFont="1" applyBorder="1" applyAlignment="1">
      <alignment horizontal="center" vertical="center"/>
    </xf>
    <xf numFmtId="0" fontId="17" fillId="0" borderId="0" xfId="0" applyFont="1" applyAlignment="1">
      <alignment vertical="center"/>
    </xf>
    <xf numFmtId="165" fontId="13" fillId="0" borderId="36" xfId="0" applyNumberFormat="1" applyFont="1" applyBorder="1" applyAlignment="1">
      <alignment horizontal="center" vertical="center"/>
    </xf>
    <xf numFmtId="0" fontId="12" fillId="0" borderId="0" xfId="0" applyFont="1" applyBorder="1" applyAlignment="1">
      <alignment horizontal="center" vertical="center" wrapText="1"/>
    </xf>
    <xf numFmtId="0" fontId="12" fillId="0" borderId="9" xfId="0" applyFont="1" applyBorder="1" applyAlignment="1">
      <alignment vertical="center"/>
    </xf>
    <xf numFmtId="0" fontId="12" fillId="0" borderId="34" xfId="0" applyFont="1" applyBorder="1" applyAlignment="1">
      <alignment vertical="center"/>
    </xf>
    <xf numFmtId="0" fontId="12" fillId="0" borderId="36" xfId="0" applyFont="1" applyBorder="1" applyAlignment="1">
      <alignment vertical="center"/>
    </xf>
    <xf numFmtId="0" fontId="12" fillId="0" borderId="0" xfId="0" applyFont="1" applyAlignment="1">
      <alignment horizontal="left" vertical="center"/>
    </xf>
    <xf numFmtId="0" fontId="16" fillId="0" borderId="8" xfId="0" applyFont="1" applyBorder="1" applyAlignment="1">
      <alignment horizontal="center" vertical="center" wrapText="1"/>
    </xf>
    <xf numFmtId="0" fontId="13" fillId="0" borderId="0" xfId="0" applyFont="1" applyBorder="1" applyAlignment="1">
      <alignment horizontal="center" vertical="center"/>
    </xf>
    <xf numFmtId="164" fontId="13" fillId="0" borderId="22" xfId="0" applyNumberFormat="1" applyFont="1" applyBorder="1" applyAlignment="1">
      <alignment horizontal="center" vertical="center"/>
    </xf>
    <xf numFmtId="2" fontId="13" fillId="0" borderId="22" xfId="0" applyNumberFormat="1" applyFont="1" applyBorder="1" applyAlignment="1">
      <alignment horizontal="center" vertical="center"/>
    </xf>
    <xf numFmtId="164" fontId="13" fillId="0" borderId="0" xfId="0" applyNumberFormat="1" applyFont="1" applyBorder="1" applyAlignment="1">
      <alignment horizontal="center" vertical="center"/>
    </xf>
    <xf numFmtId="165" fontId="13" fillId="0" borderId="11" xfId="0" applyNumberFormat="1" applyFont="1" applyBorder="1" applyAlignment="1">
      <alignment horizontal="center" vertical="center"/>
    </xf>
    <xf numFmtId="165" fontId="13" fillId="0" borderId="22" xfId="0" applyNumberFormat="1" applyFont="1" applyBorder="1" applyAlignment="1">
      <alignment horizontal="center" vertical="center"/>
    </xf>
    <xf numFmtId="0" fontId="16" fillId="0" borderId="37" xfId="0" applyFont="1" applyBorder="1" applyAlignment="1">
      <alignment horizontal="center" vertical="center" wrapText="1"/>
    </xf>
    <xf numFmtId="2" fontId="13" fillId="0" borderId="35" xfId="0" applyNumberFormat="1" applyFont="1" applyBorder="1" applyAlignment="1">
      <alignment horizontal="center" vertical="center"/>
    </xf>
    <xf numFmtId="165" fontId="13" fillId="0" borderId="35" xfId="0" applyNumberFormat="1" applyFont="1" applyBorder="1" applyAlignment="1">
      <alignment horizontal="center" vertical="center"/>
    </xf>
    <xf numFmtId="164" fontId="13" fillId="0" borderId="6" xfId="0" applyNumberFormat="1" applyFont="1"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164" fontId="10" fillId="0" borderId="34" xfId="0" applyNumberFormat="1" applyFont="1" applyBorder="1" applyAlignment="1">
      <alignment horizontal="center" vertical="center"/>
    </xf>
    <xf numFmtId="2" fontId="0" fillId="0" borderId="36" xfId="0" applyNumberFormat="1" applyBorder="1" applyAlignment="1">
      <alignment horizontal="center" vertical="center"/>
    </xf>
    <xf numFmtId="0" fontId="12" fillId="0" borderId="33" xfId="0" applyFont="1" applyBorder="1" applyAlignment="1">
      <alignment vertical="center" wrapText="1"/>
    </xf>
    <xf numFmtId="165" fontId="12" fillId="0" borderId="33" xfId="0" applyNumberFormat="1" applyFont="1" applyBorder="1" applyAlignment="1">
      <alignment horizontal="center" vertical="center" wrapText="1"/>
    </xf>
    <xf numFmtId="0" fontId="18" fillId="0" borderId="33" xfId="0" applyFont="1" applyBorder="1" applyAlignment="1">
      <alignment vertical="center" wrapText="1"/>
    </xf>
    <xf numFmtId="165" fontId="18" fillId="0" borderId="33" xfId="0" applyNumberFormat="1" applyFont="1" applyBorder="1" applyAlignment="1">
      <alignment horizontal="center" vertical="center" wrapText="1"/>
    </xf>
    <xf numFmtId="0" fontId="18" fillId="0" borderId="33" xfId="0" applyFont="1" applyBorder="1" applyAlignment="1">
      <alignment horizontal="center" vertical="center" wrapText="1"/>
    </xf>
    <xf numFmtId="0" fontId="20" fillId="0" borderId="33" xfId="0" applyFont="1" applyBorder="1" applyAlignment="1">
      <alignment horizontal="center" vertical="center" wrapText="1"/>
    </xf>
    <xf numFmtId="165" fontId="16" fillId="0" borderId="33" xfId="0" applyNumberFormat="1" applyFont="1" applyBorder="1" applyAlignment="1">
      <alignment horizontal="center" vertical="center" wrapText="1"/>
    </xf>
    <xf numFmtId="0" fontId="21" fillId="0" borderId="33" xfId="0" applyFont="1" applyBorder="1" applyAlignment="1">
      <alignment horizontal="center" vertical="center" wrapText="1"/>
    </xf>
    <xf numFmtId="0" fontId="12" fillId="0" borderId="33" xfId="0" applyFont="1" applyBorder="1" applyAlignment="1">
      <alignment vertical="center" wrapText="1"/>
    </xf>
    <xf numFmtId="0" fontId="12" fillId="0" borderId="33"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xf numFmtId="0" fontId="22" fillId="0" borderId="0" xfId="0" applyFont="1" applyAlignment="1">
      <alignment vertical="center"/>
    </xf>
    <xf numFmtId="0" fontId="22" fillId="9" borderId="33" xfId="0" applyFont="1" applyFill="1" applyBorder="1" applyAlignment="1">
      <alignment vertical="center" wrapText="1"/>
    </xf>
    <xf numFmtId="0" fontId="22" fillId="9" borderId="33" xfId="0" applyFont="1" applyFill="1" applyBorder="1" applyAlignment="1">
      <alignment horizontal="center" vertical="center" wrapText="1"/>
    </xf>
    <xf numFmtId="0" fontId="12" fillId="0" borderId="0" xfId="0" applyFont="1" applyAlignment="1">
      <alignment horizontal="center" vertical="center"/>
    </xf>
    <xf numFmtId="0" fontId="12" fillId="0" borderId="33" xfId="0" applyFont="1" applyBorder="1" applyAlignment="1">
      <alignment horizontal="center" vertical="center"/>
    </xf>
    <xf numFmtId="0" fontId="12" fillId="0" borderId="33" xfId="0" applyFont="1" applyBorder="1" applyAlignment="1">
      <alignment horizontal="left" vertical="center"/>
    </xf>
    <xf numFmtId="0" fontId="12" fillId="0" borderId="0" xfId="0" applyFont="1" applyBorder="1" applyAlignment="1">
      <alignment horizontal="center" vertical="center"/>
    </xf>
    <xf numFmtId="0" fontId="12" fillId="0" borderId="34"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Border="1" applyAlignment="1">
      <alignment vertical="center"/>
    </xf>
    <xf numFmtId="0" fontId="12" fillId="0" borderId="9" xfId="0" applyFont="1" applyBorder="1" applyAlignment="1">
      <alignment horizontal="center" vertical="center"/>
    </xf>
    <xf numFmtId="0" fontId="12" fillId="0" borderId="9" xfId="0" applyFont="1" applyBorder="1" applyAlignment="1">
      <alignment horizontal="left" vertical="center"/>
    </xf>
    <xf numFmtId="164" fontId="12" fillId="0" borderId="34" xfId="0" applyNumberFormat="1" applyFont="1" applyBorder="1" applyAlignment="1">
      <alignment horizontal="center" vertical="center"/>
    </xf>
    <xf numFmtId="165" fontId="12" fillId="0" borderId="34" xfId="0" applyNumberFormat="1" applyFont="1" applyBorder="1" applyAlignment="1">
      <alignment horizontal="center" vertical="center"/>
    </xf>
    <xf numFmtId="2" fontId="20" fillId="0" borderId="34"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0" xfId="0" applyFont="1" applyBorder="1"/>
    <xf numFmtId="164" fontId="12" fillId="0" borderId="0" xfId="0" applyNumberFormat="1" applyFont="1" applyBorder="1" applyAlignment="1">
      <alignment horizontal="center" vertical="center"/>
    </xf>
    <xf numFmtId="0" fontId="12" fillId="0" borderId="10" xfId="0" applyFont="1" applyBorder="1" applyAlignment="1">
      <alignment horizontal="center" vertical="center"/>
    </xf>
    <xf numFmtId="2" fontId="12" fillId="0" borderId="0" xfId="0" applyNumberFormat="1" applyFont="1" applyBorder="1" applyAlignment="1">
      <alignment horizontal="center" vertical="center"/>
    </xf>
    <xf numFmtId="164" fontId="12" fillId="0" borderId="34" xfId="0" applyNumberFormat="1" applyFont="1" applyBorder="1" applyAlignment="1">
      <alignment horizontal="left" vertical="center"/>
    </xf>
    <xf numFmtId="2" fontId="12" fillId="0" borderId="34" xfId="0" applyNumberFormat="1" applyFont="1" applyBorder="1" applyAlignment="1">
      <alignment horizontal="left" vertical="center"/>
    </xf>
    <xf numFmtId="1" fontId="12" fillId="0" borderId="0" xfId="0" applyNumberFormat="1" applyFont="1" applyBorder="1" applyAlignment="1">
      <alignment horizontal="center" vertical="center"/>
    </xf>
    <xf numFmtId="1" fontId="12" fillId="0" borderId="34" xfId="0" applyNumberFormat="1" applyFont="1" applyBorder="1" applyAlignment="1">
      <alignment horizontal="left" vertical="center"/>
    </xf>
    <xf numFmtId="0" fontId="12" fillId="0" borderId="36" xfId="0" applyFont="1" applyBorder="1" applyAlignment="1">
      <alignment horizontal="left" vertical="center"/>
    </xf>
    <xf numFmtId="0" fontId="12" fillId="0" borderId="10" xfId="0" applyFont="1" applyBorder="1" applyAlignment="1">
      <alignment vertical="center"/>
    </xf>
    <xf numFmtId="0" fontId="12" fillId="0" borderId="11" xfId="0" applyFont="1" applyBorder="1" applyAlignment="1">
      <alignment horizontal="center" vertical="center"/>
    </xf>
    <xf numFmtId="0" fontId="12" fillId="0" borderId="8" xfId="0" applyFont="1" applyBorder="1" applyAlignment="1">
      <alignment horizontal="left"/>
    </xf>
    <xf numFmtId="164" fontId="12" fillId="0" borderId="8" xfId="0" applyNumberFormat="1" applyFont="1" applyBorder="1" applyAlignment="1">
      <alignment horizontal="center" vertical="center"/>
    </xf>
    <xf numFmtId="0" fontId="12" fillId="0" borderId="22" xfId="0" applyFont="1" applyBorder="1" applyAlignment="1">
      <alignment horizontal="left"/>
    </xf>
    <xf numFmtId="164" fontId="12" fillId="0" borderId="22" xfId="0" applyNumberFormat="1" applyFont="1" applyBorder="1" applyAlignment="1">
      <alignment horizontal="center" vertical="center"/>
    </xf>
    <xf numFmtId="0" fontId="12" fillId="0" borderId="22" xfId="0" applyFont="1" applyBorder="1" applyAlignment="1">
      <alignment horizontal="center" vertical="center"/>
    </xf>
    <xf numFmtId="165" fontId="12" fillId="0" borderId="22" xfId="0" applyNumberFormat="1" applyFont="1" applyBorder="1" applyAlignment="1">
      <alignment horizontal="center" vertical="center"/>
    </xf>
    <xf numFmtId="2" fontId="12" fillId="0" borderId="22" xfId="0" applyNumberFormat="1" applyFont="1" applyBorder="1" applyAlignment="1">
      <alignment horizontal="center" vertical="center"/>
    </xf>
    <xf numFmtId="0" fontId="16" fillId="0" borderId="22" xfId="0" applyFont="1" applyBorder="1" applyAlignment="1">
      <alignment horizontal="center" vertical="center"/>
    </xf>
    <xf numFmtId="0" fontId="12" fillId="0" borderId="7" xfId="0" applyFont="1" applyBorder="1" applyAlignment="1">
      <alignment horizontal="left"/>
    </xf>
    <xf numFmtId="0" fontId="16" fillId="0" borderId="7" xfId="0" applyFont="1" applyBorder="1" applyAlignment="1">
      <alignment horizontal="center" vertical="center"/>
    </xf>
    <xf numFmtId="0" fontId="12" fillId="0" borderId="11" xfId="0" applyFont="1" applyBorder="1" applyAlignment="1">
      <alignment horizontal="left" vertical="center"/>
    </xf>
    <xf numFmtId="0" fontId="12" fillId="0" borderId="0" xfId="0" applyFont="1" applyAlignment="1">
      <alignment vertical="center"/>
    </xf>
    <xf numFmtId="165" fontId="13" fillId="0" borderId="23" xfId="0" applyNumberFormat="1" applyFont="1" applyBorder="1" applyAlignment="1">
      <alignment horizontal="center" vertical="center"/>
    </xf>
    <xf numFmtId="165" fontId="13" fillId="0" borderId="24" xfId="0" applyNumberFormat="1" applyFont="1" applyBorder="1" applyAlignment="1">
      <alignment horizontal="center" vertical="center"/>
    </xf>
    <xf numFmtId="0" fontId="13" fillId="0" borderId="24" xfId="0" applyFont="1" applyBorder="1" applyAlignment="1">
      <alignment horizontal="center" vertical="center"/>
    </xf>
    <xf numFmtId="165" fontId="13" fillId="0" borderId="26" xfId="0" applyNumberFormat="1" applyFont="1" applyBorder="1" applyAlignment="1">
      <alignment horizontal="center" vertical="center"/>
    </xf>
    <xf numFmtId="1" fontId="13" fillId="0" borderId="24" xfId="0" applyNumberFormat="1" applyFont="1" applyBorder="1" applyAlignment="1">
      <alignment horizontal="center" vertical="center"/>
    </xf>
    <xf numFmtId="164" fontId="13" fillId="0" borderId="23" xfId="0" applyNumberFormat="1" applyFont="1" applyBorder="1" applyAlignment="1">
      <alignment horizontal="center" vertical="center"/>
    </xf>
    <xf numFmtId="0" fontId="13" fillId="0" borderId="5" xfId="0" applyFont="1" applyBorder="1" applyAlignment="1">
      <alignment horizontal="center" vertical="center"/>
    </xf>
    <xf numFmtId="1" fontId="13" fillId="0" borderId="26" xfId="0" applyNumberFormat="1" applyFont="1" applyBorder="1" applyAlignment="1">
      <alignment horizontal="center" vertical="center"/>
    </xf>
    <xf numFmtId="164" fontId="13" fillId="0" borderId="25" xfId="0" applyNumberFormat="1" applyFont="1" applyBorder="1" applyAlignment="1">
      <alignment horizontal="center" vertical="center"/>
    </xf>
    <xf numFmtId="165" fontId="13" fillId="0" borderId="5" xfId="0" applyNumberFormat="1" applyFont="1" applyBorder="1" applyAlignment="1">
      <alignment horizontal="center" vertical="center"/>
    </xf>
    <xf numFmtId="2" fontId="13" fillId="0" borderId="0" xfId="0" applyNumberFormat="1" applyFont="1" applyAlignment="1">
      <alignment horizontal="center" vertical="center"/>
    </xf>
    <xf numFmtId="0" fontId="13" fillId="0" borderId="0" xfId="0" applyFont="1" applyAlignment="1">
      <alignment vertical="center"/>
    </xf>
    <xf numFmtId="164" fontId="13" fillId="0" borderId="0" xfId="0" applyNumberFormat="1" applyFont="1" applyAlignment="1">
      <alignment horizontal="center" vertical="center"/>
    </xf>
    <xf numFmtId="165" fontId="13" fillId="0" borderId="0" xfId="0" applyNumberFormat="1" applyFont="1" applyAlignment="1">
      <alignment horizontal="center" vertical="center"/>
    </xf>
    <xf numFmtId="166" fontId="13" fillId="0" borderId="0" xfId="0" applyNumberFormat="1" applyFont="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pplyProtection="1">
      <alignment horizontal="center" vertical="center"/>
      <protection locked="0"/>
    </xf>
    <xf numFmtId="165" fontId="12" fillId="0" borderId="33" xfId="0" applyNumberFormat="1" applyFont="1" applyBorder="1" applyAlignment="1">
      <alignment horizontal="center" vertical="center" wrapText="1"/>
    </xf>
    <xf numFmtId="2" fontId="20" fillId="0" borderId="0" xfId="0" applyNumberFormat="1" applyFont="1" applyBorder="1" applyAlignment="1">
      <alignment horizontal="center" vertical="center"/>
    </xf>
    <xf numFmtId="165" fontId="20" fillId="0" borderId="0" xfId="0" applyNumberFormat="1" applyFont="1" applyBorder="1" applyAlignment="1">
      <alignment horizontal="center" vertical="center"/>
    </xf>
    <xf numFmtId="167" fontId="13" fillId="0" borderId="0" xfId="1" applyNumberFormat="1" applyFont="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left" vertical="center"/>
    </xf>
    <xf numFmtId="0" fontId="13" fillId="0" borderId="2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vertical="center"/>
    </xf>
    <xf numFmtId="0" fontId="13" fillId="0" borderId="14" xfId="0" applyFont="1" applyBorder="1" applyAlignment="1">
      <alignment horizontal="center" vertical="center"/>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3" fillId="0" borderId="34" xfId="0" applyFont="1" applyBorder="1" applyAlignment="1">
      <alignment vertical="center"/>
    </xf>
    <xf numFmtId="0" fontId="13" fillId="0" borderId="36" xfId="0" applyFont="1" applyBorder="1" applyAlignment="1">
      <alignment vertical="center"/>
    </xf>
    <xf numFmtId="0" fontId="11" fillId="8" borderId="11" xfId="0" applyFont="1" applyFill="1" applyBorder="1" applyAlignment="1">
      <alignment vertical="center"/>
    </xf>
    <xf numFmtId="0" fontId="0" fillId="8" borderId="12" xfId="0" applyFill="1" applyBorder="1" applyAlignment="1">
      <alignment vertical="center"/>
    </xf>
    <xf numFmtId="164" fontId="16" fillId="0" borderId="22" xfId="0" applyNumberFormat="1" applyFont="1" applyBorder="1" applyAlignment="1">
      <alignment horizontal="center" vertical="center"/>
    </xf>
    <xf numFmtId="165" fontId="12" fillId="0" borderId="12" xfId="0" applyNumberFormat="1" applyFont="1" applyBorder="1" applyAlignment="1">
      <alignment horizontal="center" vertical="center" wrapText="1"/>
    </xf>
    <xf numFmtId="165" fontId="16" fillId="0" borderId="12" xfId="0" applyNumberFormat="1" applyFont="1" applyBorder="1" applyAlignment="1">
      <alignment horizontal="center" vertical="center" wrapText="1"/>
    </xf>
    <xf numFmtId="0" fontId="25" fillId="0" borderId="0" xfId="0" applyFont="1" applyAlignment="1">
      <alignment vertical="center"/>
    </xf>
    <xf numFmtId="165" fontId="22" fillId="0" borderId="12"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Fill="1" applyBorder="1" applyAlignment="1">
      <alignment vertical="center" wrapText="1"/>
    </xf>
    <xf numFmtId="0" fontId="11" fillId="0" borderId="0" xfId="0" applyFont="1"/>
    <xf numFmtId="0" fontId="14" fillId="0" borderId="0" xfId="0" applyFont="1"/>
    <xf numFmtId="165" fontId="21" fillId="0" borderId="12" xfId="0" applyNumberFormat="1" applyFont="1" applyBorder="1" applyAlignment="1">
      <alignment horizontal="center" vertical="center" wrapText="1"/>
    </xf>
    <xf numFmtId="9" fontId="12" fillId="0" borderId="12" xfId="1" applyFont="1" applyBorder="1" applyAlignment="1">
      <alignment horizontal="center" vertical="center" wrapText="1"/>
    </xf>
    <xf numFmtId="167" fontId="12" fillId="0" borderId="12" xfId="1" applyNumberFormat="1" applyFont="1" applyBorder="1" applyAlignment="1">
      <alignment horizontal="center" vertical="center" wrapText="1"/>
    </xf>
    <xf numFmtId="167" fontId="12" fillId="0" borderId="33" xfId="1" applyNumberFormat="1" applyFont="1" applyBorder="1" applyAlignment="1">
      <alignment horizontal="center" vertical="center" wrapText="1"/>
    </xf>
    <xf numFmtId="0" fontId="30" fillId="0" borderId="33" xfId="0" applyFont="1" applyBorder="1" applyAlignment="1">
      <alignment vertical="center" wrapText="1"/>
    </xf>
    <xf numFmtId="0" fontId="0" fillId="0" borderId="0" xfId="0"/>
    <xf numFmtId="0" fontId="1" fillId="0" borderId="0" xfId="0" applyFont="1" applyAlignment="1">
      <alignment vertical="center" wrapText="1"/>
    </xf>
    <xf numFmtId="0" fontId="0" fillId="0" borderId="0" xfId="0" applyAlignment="1">
      <alignment horizontal="left" vertical="center"/>
    </xf>
    <xf numFmtId="165"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12" fillId="0" borderId="2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0" fillId="0" borderId="34" xfId="0" applyBorder="1" applyAlignment="1">
      <alignment horizontal="center" vertical="center"/>
    </xf>
    <xf numFmtId="2" fontId="0" fillId="0" borderId="34" xfId="0" applyNumberFormat="1" applyBorder="1" applyAlignment="1">
      <alignment horizontal="center" vertical="center"/>
    </xf>
    <xf numFmtId="164" fontId="0" fillId="0" borderId="34" xfId="0" applyNumberFormat="1" applyBorder="1" applyAlignment="1">
      <alignment horizontal="center" vertical="center"/>
    </xf>
    <xf numFmtId="165" fontId="0" fillId="0" borderId="0" xfId="0" applyNumberFormat="1" applyBorder="1" applyAlignment="1">
      <alignment horizontal="center" vertical="center"/>
    </xf>
    <xf numFmtId="0" fontId="0" fillId="0" borderId="7" xfId="0" applyBorder="1" applyAlignment="1">
      <alignment horizontal="center" vertical="center"/>
    </xf>
    <xf numFmtId="0" fontId="0" fillId="0" borderId="33" xfId="0" applyBorder="1" applyAlignment="1">
      <alignment vertical="center"/>
    </xf>
    <xf numFmtId="0" fontId="0" fillId="0" borderId="11" xfId="0" applyBorder="1" applyAlignment="1">
      <alignment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1" fillId="0" borderId="33" xfId="0" applyFont="1" applyBorder="1" applyAlignment="1">
      <alignment horizontal="center" vertical="center" wrapText="1"/>
    </xf>
    <xf numFmtId="0" fontId="0" fillId="0" borderId="9" xfId="0" applyBorder="1" applyAlignment="1">
      <alignment horizontal="left" vertical="center"/>
    </xf>
    <xf numFmtId="0" fontId="0" fillId="0" borderId="34" xfId="0" applyBorder="1" applyAlignment="1">
      <alignment horizontal="left" vertical="center"/>
    </xf>
    <xf numFmtId="0" fontId="0" fillId="0" borderId="36" xfId="0" applyBorder="1" applyAlignment="1">
      <alignment horizontal="left" vertical="center"/>
    </xf>
    <xf numFmtId="0" fontId="25" fillId="0" borderId="0" xfId="0" applyFont="1" applyAlignment="1">
      <alignment vertical="center"/>
    </xf>
    <xf numFmtId="2" fontId="7" fillId="0" borderId="0" xfId="0" applyNumberFormat="1" applyFont="1" applyBorder="1" applyAlignment="1">
      <alignment horizontal="center" vertical="center"/>
    </xf>
    <xf numFmtId="0" fontId="0" fillId="0" borderId="10" xfId="0" applyBorder="1" applyAlignment="1">
      <alignment horizontal="center" vertical="center"/>
    </xf>
    <xf numFmtId="0" fontId="12" fillId="0" borderId="11" xfId="0" applyFont="1" applyBorder="1" applyAlignment="1">
      <alignment horizontal="center" vertical="center" wrapText="1"/>
    </xf>
    <xf numFmtId="2" fontId="0" fillId="0" borderId="22" xfId="0" applyNumberForma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2" fontId="13" fillId="0" borderId="0" xfId="0" applyNumberFormat="1" applyFont="1" applyBorder="1" applyAlignment="1">
      <alignment horizontal="center" vertical="center"/>
    </xf>
    <xf numFmtId="2" fontId="13" fillId="0" borderId="34" xfId="0" applyNumberFormat="1" applyFont="1" applyBorder="1" applyAlignment="1">
      <alignment horizontal="center" vertical="center"/>
    </xf>
    <xf numFmtId="0" fontId="0" fillId="0" borderId="33" xfId="0" applyBorder="1" applyAlignment="1">
      <alignment horizontal="left" vertical="center"/>
    </xf>
    <xf numFmtId="0" fontId="0" fillId="0" borderId="0" xfId="0" applyFill="1"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0" xfId="0" applyAlignment="1">
      <alignment vertical="center"/>
    </xf>
    <xf numFmtId="0" fontId="0" fillId="0" borderId="22" xfId="0" applyBorder="1" applyAlignment="1">
      <alignment vertical="center"/>
    </xf>
    <xf numFmtId="0" fontId="0" fillId="0" borderId="6" xfId="0" applyBorder="1" applyAlignment="1">
      <alignment horizontal="center" vertical="center"/>
    </xf>
    <xf numFmtId="169" fontId="0" fillId="0" borderId="0" xfId="0" applyNumberFormat="1" applyAlignment="1">
      <alignment horizontal="center" vertical="center"/>
    </xf>
    <xf numFmtId="0" fontId="0" fillId="0" borderId="8" xfId="0" quotePrefix="1" applyFill="1" applyBorder="1" applyAlignment="1">
      <alignment horizontal="left" vertical="center"/>
    </xf>
    <xf numFmtId="0" fontId="0" fillId="0" borderId="22" xfId="0" quotePrefix="1" applyFill="1" applyBorder="1" applyAlignment="1">
      <alignment horizontal="left" vertical="center"/>
    </xf>
    <xf numFmtId="0" fontId="0" fillId="0" borderId="38" xfId="0" applyBorder="1" applyAlignment="1">
      <alignment horizontal="center" vertical="center"/>
    </xf>
    <xf numFmtId="0" fontId="0" fillId="0" borderId="39" xfId="0" applyBorder="1" applyAlignment="1">
      <alignment horizontal="center" vertical="center"/>
    </xf>
    <xf numFmtId="2" fontId="0" fillId="0" borderId="35" xfId="0" applyNumberFormat="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vertical="center"/>
    </xf>
    <xf numFmtId="0" fontId="0" fillId="0" borderId="10"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7" xfId="0" applyBorder="1" applyAlignment="1">
      <alignment vertical="center"/>
    </xf>
    <xf numFmtId="0" fontId="0" fillId="0" borderId="36"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1" fillId="8" borderId="0" xfId="0" applyFont="1" applyFill="1" applyAlignment="1">
      <alignment vertical="center"/>
    </xf>
    <xf numFmtId="0" fontId="0" fillId="0" borderId="9" xfId="0" applyBorder="1" applyAlignment="1">
      <alignment vertical="center"/>
    </xf>
    <xf numFmtId="0" fontId="13" fillId="8" borderId="11" xfId="0" applyFont="1" applyFill="1" applyBorder="1" applyAlignment="1">
      <alignment vertical="center"/>
    </xf>
    <xf numFmtId="0" fontId="11" fillId="8" borderId="29" xfId="0" applyFont="1" applyFill="1" applyBorder="1" applyAlignment="1">
      <alignment vertical="center"/>
    </xf>
    <xf numFmtId="0" fontId="0" fillId="0" borderId="29" xfId="0" applyBorder="1" applyAlignment="1">
      <alignment vertical="center"/>
    </xf>
    <xf numFmtId="0" fontId="0" fillId="8" borderId="0" xfId="0" applyFill="1" applyAlignment="1">
      <alignment vertical="center"/>
    </xf>
    <xf numFmtId="0" fontId="7" fillId="0" borderId="34" xfId="0" applyFont="1" applyFill="1" applyBorder="1" applyAlignment="1">
      <alignment vertical="center"/>
    </xf>
    <xf numFmtId="0" fontId="7" fillId="0" borderId="34" xfId="0" applyFont="1" applyBorder="1" applyAlignment="1">
      <alignment vertical="center"/>
    </xf>
    <xf numFmtId="0" fontId="0" fillId="0" borderId="12" xfId="0"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xf>
    <xf numFmtId="165" fontId="0" fillId="0" borderId="22" xfId="0" applyNumberFormat="1" applyBorder="1" applyAlignment="1">
      <alignment horizontal="center" vertical="center"/>
    </xf>
    <xf numFmtId="0" fontId="13" fillId="0" borderId="22" xfId="0" applyFont="1" applyBorder="1" applyAlignment="1">
      <alignment horizontal="center" vertical="center"/>
    </xf>
    <xf numFmtId="164" fontId="13" fillId="0" borderId="22" xfId="0" applyNumberFormat="1" applyFont="1" applyBorder="1" applyAlignment="1">
      <alignment horizontal="center" vertical="center"/>
    </xf>
    <xf numFmtId="164" fontId="13" fillId="0" borderId="11" xfId="0" applyNumberFormat="1" applyFont="1" applyBorder="1" applyAlignment="1">
      <alignment horizontal="center" vertical="center"/>
    </xf>
    <xf numFmtId="0" fontId="13" fillId="0" borderId="7" xfId="0" applyFont="1" applyBorder="1" applyAlignment="1">
      <alignment horizontal="center" vertical="center"/>
    </xf>
    <xf numFmtId="2" fontId="0" fillId="0" borderId="0" xfId="0" applyNumberFormat="1" applyAlignment="1">
      <alignment horizontal="center" vertical="center"/>
    </xf>
    <xf numFmtId="0" fontId="0" fillId="0" borderId="12" xfId="0" applyBorder="1" applyAlignment="1">
      <alignment horizontal="left" vertical="center"/>
    </xf>
    <xf numFmtId="0" fontId="0" fillId="0" borderId="0" xfId="0" applyBorder="1" applyAlignment="1">
      <alignment horizontal="right" vertical="center"/>
    </xf>
    <xf numFmtId="0" fontId="0" fillId="0" borderId="0" xfId="0" applyFill="1" applyAlignment="1">
      <alignment vertical="center"/>
    </xf>
    <xf numFmtId="0" fontId="0" fillId="0" borderId="8" xfId="0" applyFill="1" applyBorder="1" applyAlignment="1">
      <alignment vertical="center"/>
    </xf>
    <xf numFmtId="0" fontId="0" fillId="0" borderId="22" xfId="0" applyFill="1" applyBorder="1" applyAlignment="1">
      <alignment vertic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2" fontId="0" fillId="0" borderId="7" xfId="0" applyNumberFormat="1" applyBorder="1" applyAlignment="1">
      <alignment horizontal="center" vertical="center"/>
    </xf>
    <xf numFmtId="2" fontId="0" fillId="0" borderId="0" xfId="0" applyNumberFormat="1" applyFill="1" applyBorder="1" applyAlignment="1">
      <alignment horizontal="center" vertical="center"/>
    </xf>
    <xf numFmtId="0" fontId="0" fillId="0" borderId="33" xfId="0" applyFill="1" applyBorder="1" applyAlignment="1">
      <alignment horizontal="center" vertical="center"/>
    </xf>
    <xf numFmtId="0" fontId="0" fillId="0" borderId="0" xfId="0" applyFill="1" applyBorder="1" applyAlignment="1">
      <alignment horizontal="right" vertical="center"/>
    </xf>
    <xf numFmtId="166" fontId="0" fillId="0" borderId="0" xfId="0" applyNumberFormat="1" applyFill="1" applyBorder="1" applyAlignment="1">
      <alignment horizontal="center" vertical="center"/>
    </xf>
    <xf numFmtId="168" fontId="0" fillId="0" borderId="0" xfId="0" applyNumberFormat="1" applyFill="1" applyBorder="1" applyAlignment="1">
      <alignment horizontal="center" vertical="center"/>
    </xf>
    <xf numFmtId="0" fontId="12" fillId="0" borderId="0" xfId="0" applyFont="1" applyFill="1" applyBorder="1"/>
    <xf numFmtId="0" fontId="0" fillId="0" borderId="0" xfId="0" applyFill="1" applyBorder="1" applyAlignment="1">
      <alignment horizontal="left" vertical="center"/>
    </xf>
    <xf numFmtId="169" fontId="0" fillId="0" borderId="0" xfId="0" applyNumberFormat="1" applyFill="1" applyBorder="1" applyAlignment="1">
      <alignment horizontal="center" vertical="center"/>
    </xf>
    <xf numFmtId="0" fontId="0" fillId="0" borderId="0" xfId="0" quotePrefix="1" applyFill="1" applyBorder="1" applyAlignment="1">
      <alignment horizontal="left" vertical="center"/>
    </xf>
    <xf numFmtId="0" fontId="0" fillId="0" borderId="0" xfId="0" quotePrefix="1" applyFill="1" applyBorder="1" applyAlignment="1">
      <alignment horizontal="center" vertical="center"/>
    </xf>
    <xf numFmtId="0" fontId="33" fillId="0" borderId="0" xfId="0" applyFont="1" applyFill="1" applyBorder="1" applyAlignment="1">
      <alignment horizontal="center" vertical="center"/>
    </xf>
    <xf numFmtId="0" fontId="12" fillId="0" borderId="35" xfId="0" applyFont="1" applyBorder="1"/>
    <xf numFmtId="164" fontId="0" fillId="0" borderId="9" xfId="0" applyNumberFormat="1" applyFill="1" applyBorder="1" applyAlignment="1">
      <alignment horizontal="center" vertical="center"/>
    </xf>
    <xf numFmtId="0" fontId="0" fillId="0" borderId="8" xfId="0" applyBorder="1" applyAlignment="1">
      <alignment horizontal="center" vertical="center" wrapText="1"/>
    </xf>
    <xf numFmtId="165" fontId="0" fillId="0" borderId="8" xfId="0" applyNumberFormat="1" applyFill="1" applyBorder="1" applyAlignment="1">
      <alignment horizontal="center" vertical="center"/>
    </xf>
    <xf numFmtId="0" fontId="12" fillId="0" borderId="22" xfId="0" applyFont="1" applyBorder="1"/>
    <xf numFmtId="0" fontId="0" fillId="8" borderId="0" xfId="0" applyFill="1" applyBorder="1" applyAlignment="1">
      <alignment vertical="center"/>
    </xf>
    <xf numFmtId="0" fontId="12" fillId="0" borderId="9" xfId="0" applyFont="1" applyBorder="1"/>
    <xf numFmtId="165" fontId="11" fillId="0" borderId="34" xfId="0" applyNumberFormat="1" applyFont="1" applyBorder="1" applyAlignment="1">
      <alignment horizontal="center" vertical="center"/>
    </xf>
    <xf numFmtId="164" fontId="13" fillId="0" borderId="37" xfId="0" applyNumberFormat="1" applyFont="1" applyFill="1" applyBorder="1" applyAlignment="1">
      <alignment horizontal="center" vertical="center"/>
    </xf>
    <xf numFmtId="2" fontId="0" fillId="0" borderId="37" xfId="0" applyNumberFormat="1" applyBorder="1" applyAlignment="1">
      <alignment horizontal="center" vertical="center"/>
    </xf>
    <xf numFmtId="2" fontId="13" fillId="0" borderId="8" xfId="0" applyNumberFormat="1" applyFont="1" applyBorder="1" applyAlignment="1">
      <alignment horizontal="center" vertical="center"/>
    </xf>
    <xf numFmtId="2" fontId="13" fillId="0" borderId="8" xfId="0" applyNumberFormat="1" applyFont="1" applyFill="1" applyBorder="1" applyAlignment="1">
      <alignment horizontal="center" vertical="center"/>
    </xf>
    <xf numFmtId="0" fontId="34" fillId="0" borderId="0" xfId="0" applyFont="1" applyAlignment="1">
      <alignment vertical="center"/>
    </xf>
    <xf numFmtId="0" fontId="21" fillId="0" borderId="0" xfId="0" applyFont="1" applyAlignment="1">
      <alignment vertical="center" wrapText="1"/>
    </xf>
    <xf numFmtId="0" fontId="12" fillId="0" borderId="0" xfId="0" applyFont="1" applyBorder="1" applyAlignment="1">
      <alignment horizontal="left" vertical="center" wrapText="1"/>
    </xf>
    <xf numFmtId="0" fontId="7" fillId="0" borderId="0" xfId="0" applyFont="1" applyBorder="1" applyAlignment="1">
      <alignment vertical="center"/>
    </xf>
    <xf numFmtId="2" fontId="0" fillId="0" borderId="10" xfId="0" applyNumberFormat="1" applyBorder="1" applyAlignment="1">
      <alignment horizontal="center" vertical="center"/>
    </xf>
    <xf numFmtId="0" fontId="7" fillId="0" borderId="36" xfId="0" applyFont="1" applyBorder="1" applyAlignment="1">
      <alignment vertical="center"/>
    </xf>
    <xf numFmtId="2" fontId="7" fillId="0" borderId="5" xfId="0" applyNumberFormat="1" applyFont="1" applyBorder="1" applyAlignment="1">
      <alignment horizontal="center" vertical="center"/>
    </xf>
    <xf numFmtId="2" fontId="7" fillId="0" borderId="22" xfId="0" applyNumberFormat="1" applyFont="1" applyFill="1" applyBorder="1" applyAlignment="1">
      <alignment horizontal="center" vertical="center"/>
    </xf>
    <xf numFmtId="1" fontId="13" fillId="0" borderId="34" xfId="0" applyNumberFormat="1" applyFont="1" applyBorder="1" applyAlignment="1">
      <alignment horizontal="center" vertical="center"/>
    </xf>
    <xf numFmtId="1" fontId="13" fillId="0" borderId="0" xfId="0" applyNumberFormat="1" applyFont="1" applyFill="1" applyBorder="1" applyAlignment="1">
      <alignment horizontal="center" vertical="center"/>
    </xf>
    <xf numFmtId="2" fontId="13" fillId="0" borderId="34" xfId="0" applyNumberFormat="1" applyFont="1" applyFill="1" applyBorder="1" applyAlignment="1">
      <alignment horizontal="center" vertical="center"/>
    </xf>
    <xf numFmtId="0" fontId="13" fillId="0" borderId="22" xfId="0" applyFont="1" applyBorder="1" applyAlignment="1">
      <alignment vertical="center"/>
    </xf>
    <xf numFmtId="0" fontId="13" fillId="0" borderId="7" xfId="0" applyFont="1" applyBorder="1"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164" fontId="13" fillId="0" borderId="18" xfId="0" applyNumberFormat="1" applyFont="1" applyBorder="1" applyAlignment="1">
      <alignment horizontal="center" vertical="center"/>
    </xf>
    <xf numFmtId="165" fontId="13" fillId="0" borderId="20" xfId="0" applyNumberFormat="1" applyFont="1" applyBorder="1" applyAlignment="1">
      <alignment horizontal="center" vertical="center"/>
    </xf>
    <xf numFmtId="164" fontId="13" fillId="0" borderId="10" xfId="0" applyNumberFormat="1" applyFont="1" applyBorder="1" applyAlignment="1">
      <alignment horizontal="center" vertical="center"/>
    </xf>
    <xf numFmtId="165" fontId="13" fillId="0" borderId="37" xfId="0" applyNumberFormat="1" applyFont="1" applyBorder="1" applyAlignment="1">
      <alignment horizontal="center" vertical="center"/>
    </xf>
    <xf numFmtId="164" fontId="7" fillId="0" borderId="34" xfId="0" applyNumberFormat="1" applyFont="1" applyBorder="1" applyAlignment="1">
      <alignment horizontal="center" vertical="center"/>
    </xf>
    <xf numFmtId="2" fontId="13" fillId="0" borderId="7" xfId="0" applyNumberFormat="1" applyFont="1" applyBorder="1" applyAlignment="1">
      <alignment horizontal="center" vertical="center"/>
    </xf>
    <xf numFmtId="166" fontId="13" fillId="0" borderId="8" xfId="0" applyNumberFormat="1" applyFont="1" applyBorder="1" applyAlignment="1">
      <alignment horizontal="center" vertical="center"/>
    </xf>
    <xf numFmtId="166" fontId="13" fillId="0" borderId="22" xfId="0" applyNumberFormat="1" applyFont="1" applyBorder="1" applyAlignment="1">
      <alignment horizontal="center" vertical="center"/>
    </xf>
    <xf numFmtId="169" fontId="13" fillId="0" borderId="7" xfId="0" applyNumberFormat="1" applyFont="1" applyBorder="1" applyAlignment="1">
      <alignment horizontal="center" vertical="center"/>
    </xf>
    <xf numFmtId="168" fontId="13" fillId="0" borderId="22" xfId="0" applyNumberFormat="1" applyFont="1" applyBorder="1" applyAlignment="1">
      <alignment horizontal="center" vertical="center"/>
    </xf>
    <xf numFmtId="164" fontId="13" fillId="0" borderId="7" xfId="0" applyNumberFormat="1" applyFont="1" applyBorder="1" applyAlignment="1">
      <alignment horizontal="center" vertical="center"/>
    </xf>
    <xf numFmtId="0" fontId="0" fillId="11" borderId="11" xfId="0" applyFill="1" applyBorder="1" applyAlignment="1">
      <alignment horizontal="center" vertical="center"/>
    </xf>
    <xf numFmtId="2" fontId="0" fillId="11" borderId="22" xfId="0" applyNumberFormat="1" applyFill="1" applyBorder="1" applyAlignment="1">
      <alignment horizontal="center" vertical="center"/>
    </xf>
    <xf numFmtId="0" fontId="14" fillId="8" borderId="0" xfId="0" applyFont="1" applyFill="1" applyBorder="1" applyAlignment="1">
      <alignment vertical="center"/>
    </xf>
    <xf numFmtId="0" fontId="11" fillId="8" borderId="0" xfId="0" applyFont="1" applyFill="1" applyBorder="1" applyAlignment="1">
      <alignment vertical="center"/>
    </xf>
    <xf numFmtId="0" fontId="16" fillId="0" borderId="33" xfId="0" applyFont="1" applyBorder="1" applyAlignment="1">
      <alignment horizontal="center" vertical="center" wrapText="1"/>
    </xf>
    <xf numFmtId="2" fontId="13" fillId="3" borderId="1" xfId="0" applyNumberFormat="1" applyFont="1" applyFill="1" applyBorder="1" applyAlignment="1">
      <alignment horizontal="center" vertical="center"/>
    </xf>
    <xf numFmtId="2" fontId="13" fillId="3" borderId="1" xfId="0" applyNumberFormat="1" applyFont="1" applyFill="1" applyBorder="1" applyAlignment="1" applyProtection="1">
      <alignment horizontal="center" vertical="center"/>
      <protection locked="0"/>
    </xf>
    <xf numFmtId="165" fontId="30" fillId="0" borderId="33" xfId="0" applyNumberFormat="1" applyFont="1" applyBorder="1" applyAlignment="1">
      <alignment horizontal="center" vertical="center" wrapText="1"/>
    </xf>
    <xf numFmtId="0" fontId="30" fillId="0" borderId="33" xfId="0" applyFont="1" applyBorder="1" applyAlignment="1">
      <alignment horizontal="center" vertical="center" wrapText="1"/>
    </xf>
    <xf numFmtId="2" fontId="0" fillId="0" borderId="6"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35" xfId="0" applyNumberFormat="1" applyBorder="1" applyAlignment="1">
      <alignment horizontal="center" vertical="center"/>
    </xf>
    <xf numFmtId="164" fontId="10" fillId="0" borderId="35" xfId="0" applyNumberFormat="1" applyFont="1" applyBorder="1" applyAlignment="1">
      <alignment horizontal="center" vertical="center"/>
    </xf>
    <xf numFmtId="0" fontId="1" fillId="0" borderId="9" xfId="0" applyFont="1" applyBorder="1" applyAlignment="1">
      <alignment horizontal="center" vertical="center" wrapText="1"/>
    </xf>
    <xf numFmtId="0" fontId="12" fillId="0" borderId="17" xfId="0" applyFont="1" applyBorder="1" applyAlignment="1">
      <alignment vertical="center" wrapText="1"/>
    </xf>
    <xf numFmtId="0" fontId="12" fillId="0" borderId="36" xfId="0" applyFont="1" applyBorder="1" applyAlignment="1">
      <alignment vertical="center" wrapText="1"/>
    </xf>
    <xf numFmtId="0" fontId="12" fillId="0" borderId="6" xfId="0" applyFont="1" applyBorder="1" applyAlignment="1">
      <alignment horizontal="center" vertical="center" wrapText="1"/>
    </xf>
    <xf numFmtId="0" fontId="12" fillId="0" borderId="36" xfId="0" applyFont="1" applyBorder="1" applyAlignment="1">
      <alignment horizontal="center" vertical="center" wrapText="1"/>
    </xf>
    <xf numFmtId="0" fontId="3" fillId="10" borderId="17" xfId="0" applyFont="1" applyFill="1" applyBorder="1" applyAlignment="1">
      <alignment vertical="center" wrapText="1"/>
    </xf>
    <xf numFmtId="0" fontId="3" fillId="10" borderId="17"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1" fillId="0" borderId="33" xfId="0" applyFont="1" applyBorder="1" applyAlignment="1">
      <alignment vertical="center" wrapText="1"/>
    </xf>
    <xf numFmtId="0" fontId="28" fillId="0" borderId="33" xfId="0" applyFont="1" applyBorder="1" applyAlignment="1">
      <alignment vertical="center" wrapText="1"/>
    </xf>
    <xf numFmtId="2" fontId="16" fillId="0" borderId="33" xfId="0" applyNumberFormat="1" applyFont="1" applyBorder="1" applyAlignment="1">
      <alignment horizontal="center" vertical="center" wrapText="1"/>
    </xf>
    <xf numFmtId="165" fontId="21" fillId="0" borderId="33" xfId="0" applyNumberFormat="1" applyFont="1" applyBorder="1" applyAlignment="1">
      <alignment horizontal="center" vertical="center" wrapText="1"/>
    </xf>
    <xf numFmtId="9" fontId="12" fillId="0" borderId="33" xfId="1" applyFont="1" applyBorder="1" applyAlignment="1">
      <alignment horizontal="center" vertical="center" wrapText="1"/>
    </xf>
    <xf numFmtId="0" fontId="1" fillId="0" borderId="36" xfId="0" applyFont="1" applyBorder="1" applyAlignment="1">
      <alignment vertical="center" wrapText="1"/>
    </xf>
    <xf numFmtId="0" fontId="12" fillId="0" borderId="33" xfId="0" applyFont="1" applyBorder="1"/>
    <xf numFmtId="0" fontId="12" fillId="0" borderId="17" xfId="0" applyFont="1" applyBorder="1"/>
    <xf numFmtId="0" fontId="12" fillId="0" borderId="36" xfId="0" applyFont="1" applyBorder="1"/>
    <xf numFmtId="0" fontId="12" fillId="0" borderId="39" xfId="0" applyFont="1" applyBorder="1" applyAlignment="1">
      <alignment horizontal="center" vertical="center" wrapText="1"/>
    </xf>
    <xf numFmtId="0" fontId="12" fillId="0" borderId="17" xfId="0" applyFont="1" applyBorder="1" applyAlignment="1">
      <alignment horizontal="center" vertical="center" wrapText="1"/>
    </xf>
    <xf numFmtId="2" fontId="30" fillId="0" borderId="33" xfId="0" applyNumberFormat="1" applyFont="1" applyBorder="1" applyAlignment="1">
      <alignment horizontal="center" vertical="center" wrapText="1"/>
    </xf>
    <xf numFmtId="0" fontId="37" fillId="10" borderId="17" xfId="0" applyFont="1" applyFill="1" applyBorder="1" applyAlignment="1">
      <alignment vertical="center" wrapText="1"/>
    </xf>
    <xf numFmtId="0" fontId="37" fillId="10" borderId="17" xfId="0" applyFont="1" applyFill="1" applyBorder="1" applyAlignment="1">
      <alignment horizontal="center" vertical="center" wrapText="1"/>
    </xf>
    <xf numFmtId="0" fontId="37" fillId="0" borderId="0" xfId="0" applyFont="1"/>
    <xf numFmtId="0" fontId="35" fillId="0" borderId="0" xfId="0" applyFont="1" applyAlignment="1">
      <alignment vertical="center"/>
    </xf>
    <xf numFmtId="0" fontId="21" fillId="0" borderId="33" xfId="0" applyFont="1" applyBorder="1" applyAlignment="1">
      <alignment vertical="center" wrapText="1"/>
    </xf>
    <xf numFmtId="165" fontId="22" fillId="0" borderId="33" xfId="0" applyNumberFormat="1" applyFont="1" applyBorder="1" applyAlignment="1">
      <alignment horizontal="center" vertical="center" wrapText="1"/>
    </xf>
    <xf numFmtId="0" fontId="12" fillId="0" borderId="40" xfId="0" applyFont="1" applyBorder="1" applyAlignment="1">
      <alignment vertical="center" wrapText="1"/>
    </xf>
    <xf numFmtId="0" fontId="12" fillId="0" borderId="40" xfId="0" applyFont="1" applyBorder="1"/>
    <xf numFmtId="0" fontId="12" fillId="0" borderId="39" xfId="0" applyFont="1" applyBorder="1"/>
    <xf numFmtId="0" fontId="22" fillId="0" borderId="38" xfId="0" applyFont="1" applyBorder="1" applyAlignment="1">
      <alignment vertical="center"/>
    </xf>
    <xf numFmtId="1" fontId="0" fillId="0" borderId="0" xfId="0" applyNumberFormat="1" applyBorder="1" applyAlignment="1">
      <alignment horizontal="center" vertical="center"/>
    </xf>
    <xf numFmtId="0" fontId="34" fillId="0" borderId="34" xfId="0" applyFont="1" applyBorder="1" applyAlignment="1">
      <alignment vertical="center"/>
    </xf>
    <xf numFmtId="165" fontId="20" fillId="0" borderId="34" xfId="0" applyNumberFormat="1" applyFont="1" applyBorder="1" applyAlignment="1">
      <alignment horizontal="center" vertical="center"/>
    </xf>
    <xf numFmtId="2" fontId="16" fillId="0" borderId="11" xfId="0" applyNumberFormat="1" applyFont="1" applyBorder="1" applyAlignment="1">
      <alignment horizontal="center" vertical="center"/>
    </xf>
    <xf numFmtId="166" fontId="0" fillId="0" borderId="0" xfId="0" applyNumberFormat="1" applyAlignment="1">
      <alignment vertical="center"/>
    </xf>
    <xf numFmtId="165" fontId="0" fillId="0" borderId="0" xfId="0" applyNumberFormat="1" applyFill="1" applyBorder="1" applyAlignment="1">
      <alignment vertical="center"/>
    </xf>
    <xf numFmtId="165" fontId="0" fillId="0" borderId="0" xfId="0" applyNumberFormat="1" applyAlignment="1">
      <alignment vertical="center"/>
    </xf>
    <xf numFmtId="0" fontId="14" fillId="8" borderId="0" xfId="0" applyFont="1" applyFill="1" applyAlignment="1">
      <alignment vertical="center"/>
    </xf>
    <xf numFmtId="0" fontId="34" fillId="8" borderId="0" xfId="0" applyFont="1" applyFill="1" applyAlignment="1">
      <alignment vertical="center"/>
    </xf>
    <xf numFmtId="0" fontId="0" fillId="12" borderId="31" xfId="0" applyFill="1" applyBorder="1" applyAlignment="1">
      <alignment vertical="center"/>
    </xf>
    <xf numFmtId="165" fontId="14" fillId="12" borderId="30" xfId="0" applyNumberFormat="1" applyFont="1" applyFill="1" applyBorder="1" applyAlignment="1">
      <alignment horizontal="center" vertical="center"/>
    </xf>
    <xf numFmtId="165" fontId="0" fillId="12" borderId="29" xfId="0" applyNumberFormat="1" applyFill="1" applyBorder="1" applyAlignment="1">
      <alignment horizontal="center" vertical="center"/>
    </xf>
    <xf numFmtId="165" fontId="14" fillId="12" borderId="29" xfId="0" applyNumberFormat="1" applyFont="1" applyFill="1" applyBorder="1" applyAlignment="1">
      <alignment horizontal="center" vertical="center"/>
    </xf>
    <xf numFmtId="165" fontId="14" fillId="12" borderId="32" xfId="0" applyNumberFormat="1" applyFont="1" applyFill="1" applyBorder="1" applyAlignment="1">
      <alignment horizontal="center" vertical="center"/>
    </xf>
    <xf numFmtId="166" fontId="39" fillId="12" borderId="12" xfId="0" applyNumberFormat="1" applyFont="1" applyFill="1" applyBorder="1" applyAlignment="1">
      <alignment horizontal="center" vertical="center"/>
    </xf>
    <xf numFmtId="166" fontId="39" fillId="12" borderId="33" xfId="0" applyNumberFormat="1" applyFont="1" applyFill="1" applyBorder="1" applyAlignment="1">
      <alignment horizontal="center" vertical="center"/>
    </xf>
    <xf numFmtId="0" fontId="13" fillId="12" borderId="31" xfId="0" applyFont="1" applyFill="1" applyBorder="1" applyAlignment="1">
      <alignment vertical="center"/>
    </xf>
    <xf numFmtId="165" fontId="13" fillId="12" borderId="29" xfId="0" applyNumberFormat="1" applyFont="1" applyFill="1" applyBorder="1" applyAlignment="1">
      <alignment horizontal="center" vertical="center"/>
    </xf>
    <xf numFmtId="165" fontId="40" fillId="0" borderId="0" xfId="0" applyNumberFormat="1" applyFont="1" applyFill="1" applyBorder="1" applyAlignment="1">
      <alignment horizontal="center" vertical="center"/>
    </xf>
    <xf numFmtId="166" fontId="40" fillId="0" borderId="0" xfId="0" applyNumberFormat="1" applyFont="1" applyAlignment="1">
      <alignment horizontal="center" vertical="center"/>
    </xf>
    <xf numFmtId="165" fontId="40" fillId="0" borderId="0" xfId="0" applyNumberFormat="1" applyFont="1" applyAlignment="1">
      <alignment horizontal="center" vertical="center"/>
    </xf>
    <xf numFmtId="0" fontId="0" fillId="5" borderId="1" xfId="0" applyFill="1" applyBorder="1" applyAlignment="1">
      <alignment horizontal="center"/>
    </xf>
    <xf numFmtId="0" fontId="0" fillId="2" borderId="0" xfId="0" applyFill="1" applyAlignment="1" applyProtection="1">
      <alignment horizontal="center" vertical="center"/>
      <protection locked="0"/>
    </xf>
    <xf numFmtId="0" fontId="11" fillId="0" borderId="0" xfId="0" applyFont="1" applyFill="1" applyAlignment="1" applyProtection="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37"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8" borderId="7" xfId="0" applyFont="1" applyFill="1" applyBorder="1" applyAlignment="1">
      <alignment horizontal="center" vertical="center"/>
    </xf>
    <xf numFmtId="0" fontId="26" fillId="0" borderId="5" xfId="0" applyFont="1" applyBorder="1" applyAlignment="1">
      <alignment horizontal="left" vertical="center" wrapText="1"/>
    </xf>
    <xf numFmtId="0" fontId="12" fillId="0" borderId="0" xfId="0" applyFont="1" applyAlignment="1">
      <alignment horizontal="left" vertical="center" wrapText="1"/>
    </xf>
    <xf numFmtId="0" fontId="26" fillId="0" borderId="0" xfId="0" applyFont="1" applyBorder="1" applyAlignment="1">
      <alignment horizontal="left" vertical="center" wrapText="1"/>
    </xf>
    <xf numFmtId="0" fontId="17" fillId="0" borderId="0" xfId="0" applyFont="1" applyBorder="1" applyAlignment="1">
      <alignment horizontal="left" vertical="center" wrapText="1"/>
    </xf>
    <xf numFmtId="0" fontId="12" fillId="0" borderId="5" xfId="0" applyFont="1" applyBorder="1" applyAlignment="1">
      <alignment horizontal="left" vertical="center" wrapText="1"/>
    </xf>
    <xf numFmtId="0" fontId="25" fillId="0" borderId="5" xfId="0" applyFont="1" applyBorder="1" applyAlignment="1">
      <alignment horizontal="left" vertical="center" wrapText="1"/>
    </xf>
    <xf numFmtId="0" fontId="35" fillId="0" borderId="5" xfId="0" applyFont="1" applyBorder="1" applyAlignment="1">
      <alignment horizontal="left" vertical="center" wrapText="1"/>
    </xf>
    <xf numFmtId="0" fontId="1" fillId="0" borderId="0" xfId="0" applyFont="1" applyAlignment="1">
      <alignment horizontal="left" vertical="center" wrapText="1"/>
    </xf>
    <xf numFmtId="0" fontId="19" fillId="0" borderId="5" xfId="0" applyFont="1" applyBorder="1" applyAlignment="1">
      <alignment horizontal="left" vertical="center" wrapText="1"/>
    </xf>
    <xf numFmtId="0" fontId="17" fillId="0" borderId="5" xfId="0" applyFont="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161926</xdr:rowOff>
    </xdr:from>
    <xdr:to>
      <xdr:col>4</xdr:col>
      <xdr:colOff>600075</xdr:colOff>
      <xdr:row>23</xdr:row>
      <xdr:rowOff>47626</xdr:rowOff>
    </xdr:to>
    <xdr:sp macro="" textlink="">
      <xdr:nvSpPr>
        <xdr:cNvPr id="2" name="TextBox 1"/>
        <xdr:cNvSpPr txBox="1"/>
      </xdr:nvSpPr>
      <xdr:spPr>
        <a:xfrm>
          <a:off x="361950" y="542926"/>
          <a:ext cx="6610350"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p>
        <a:p>
          <a:endParaRPr lang="en-US" sz="1100"/>
        </a:p>
        <a:p>
          <a:r>
            <a:rPr lang="en-US" sz="1100"/>
            <a:t>Enter the Vendor's Compliance Software  Name in the designated cell above.</a:t>
          </a:r>
        </a:p>
        <a:p>
          <a:endParaRPr lang="en-US" sz="1100"/>
        </a:p>
        <a:p>
          <a:r>
            <a:rPr lang="en-US" sz="1100"/>
            <a:t>Enter</a:t>
          </a:r>
          <a:r>
            <a:rPr lang="en-US" sz="1100" baseline="0"/>
            <a:t> each home as described on tabs starting with the letter "D" into your software. Differences from Home T01 to T02 and T03 are shown in red. Similar with M01 to M02 and M03. "T" homes are for Tampa climate and "M" homes are for Miami climate.</a:t>
          </a:r>
        </a:p>
        <a:p>
          <a:endParaRPr lang="en-US" sz="1100" baseline="0"/>
        </a:p>
        <a:p>
          <a:r>
            <a:rPr lang="en-US" sz="1100" baseline="0"/>
            <a:t>Enter the software results for each prescriptive method your software checks in the yellow cells on the verification tabs marked with a "V." Each of those tabs has separate entries for the R-Value method, U-Factor Alternative method and the Total UA Alternative method. Scroll down to enter the data for each method. </a:t>
          </a:r>
        </a:p>
        <a:p>
          <a:pPr rtl="0" eaLnBrk="1" latinLnBrk="0" hangingPunct="1"/>
          <a:r>
            <a:rPr lang="en-US" sz="1100">
              <a:solidFill>
                <a:schemeClr val="dk1"/>
              </a:solidFill>
              <a:effectLst/>
              <a:latin typeface="+mn-lt"/>
              <a:ea typeface="+mn-ea"/>
              <a:cs typeface="+mn-cs"/>
            </a:rPr>
            <a:t>Select the dropdown choices for most entries.</a:t>
          </a:r>
          <a:endParaRPr lang="en-US">
            <a:effectLst/>
          </a:endParaRPr>
        </a:p>
        <a:p>
          <a:pPr rtl="0" eaLnBrk="1" latinLnBrk="0" hangingPunct="1"/>
          <a:r>
            <a:rPr lang="en-US" sz="1100">
              <a:solidFill>
                <a:schemeClr val="dk1"/>
              </a:solidFill>
              <a:effectLst/>
              <a:latin typeface="+mn-lt"/>
              <a:ea typeface="+mn-ea"/>
              <a:cs typeface="+mn-cs"/>
            </a:rPr>
            <a:t>Enter the software calculated average Fenestration U-Factor and SHGC where asked.</a:t>
          </a:r>
          <a:endParaRPr lang="en-US">
            <a:effectLst/>
          </a:endParaRPr>
        </a:p>
        <a:p>
          <a:pPr rtl="0" eaLnBrk="1" latinLnBrk="0" hangingPunct="1"/>
          <a:r>
            <a:rPr lang="en-US" sz="1100">
              <a:solidFill>
                <a:schemeClr val="dk1"/>
              </a:solidFill>
              <a:effectLst/>
              <a:latin typeface="+mn-lt"/>
              <a:ea typeface="+mn-ea"/>
              <a:cs typeface="+mn-cs"/>
            </a:rPr>
            <a:t>Enter the mandatory requirements results that your software checks. If</a:t>
          </a:r>
          <a:r>
            <a:rPr lang="en-US" sz="1100" baseline="0">
              <a:solidFill>
                <a:schemeClr val="dk1"/>
              </a:solidFill>
              <a:effectLst/>
              <a:latin typeface="+mn-lt"/>
              <a:ea typeface="+mn-ea"/>
              <a:cs typeface="+mn-cs"/>
            </a:rPr>
            <a:t> the mandatory item is not part of software select the choice</a:t>
          </a:r>
          <a:r>
            <a:rPr lang="en-US" sz="1100">
              <a:solidFill>
                <a:schemeClr val="dk1"/>
              </a:solidFill>
              <a:effectLst/>
              <a:latin typeface="+mn-lt"/>
              <a:ea typeface="+mn-ea"/>
              <a:cs typeface="+mn-cs"/>
            </a:rPr>
            <a:t> “Not Part of Software.”</a:t>
          </a:r>
          <a:endParaRPr lang="en-US">
            <a:effectLst/>
          </a:endParaRPr>
        </a:p>
        <a:p>
          <a:pPr rtl="0" eaLnBrk="1" latinLnBrk="0" hangingPunct="1"/>
          <a:r>
            <a:rPr lang="en-US" sz="1100">
              <a:solidFill>
                <a:schemeClr val="dk1"/>
              </a:solidFill>
              <a:effectLst/>
              <a:latin typeface="+mn-lt"/>
              <a:ea typeface="+mn-ea"/>
              <a:cs typeface="+mn-cs"/>
            </a:rPr>
            <a:t>If the software calculates all the expected results the “Test Results” line will show “PASS.”</a:t>
          </a:r>
        </a:p>
        <a:p>
          <a:pPr rtl="0" eaLnBrk="1" latinLnBrk="0" hangingPunct="1"/>
          <a:endParaRPr lang="en-US" sz="1100">
            <a:solidFill>
              <a:schemeClr val="dk1"/>
            </a:solidFill>
            <a:effectLst/>
            <a:latin typeface="+mn-lt"/>
            <a:ea typeface="+mn-ea"/>
            <a:cs typeface="+mn-cs"/>
          </a:endParaRPr>
        </a:p>
        <a:p>
          <a:pPr rtl="0" eaLnBrk="1" latinLnBrk="0" hangingPunct="1"/>
          <a:r>
            <a:rPr lang="en-US" sz="1100">
              <a:solidFill>
                <a:schemeClr val="dk1"/>
              </a:solidFill>
              <a:effectLst/>
              <a:latin typeface="+mn-lt"/>
              <a:ea typeface="+mn-ea"/>
              <a:cs typeface="+mn-cs"/>
            </a:rPr>
            <a:t>The UA tabs are for information only as they show the U</a:t>
          </a:r>
          <a:r>
            <a:rPr lang="en-US" sz="1100" baseline="0">
              <a:solidFill>
                <a:schemeClr val="dk1"/>
              </a:solidFill>
              <a:effectLst/>
              <a:latin typeface="+mn-lt"/>
              <a:ea typeface="+mn-ea"/>
              <a:cs typeface="+mn-cs"/>
            </a:rPr>
            <a:t> factor and UA calculations obtained for the described homes.</a:t>
          </a:r>
          <a:endParaRPr lang="en-US">
            <a:effectLst/>
          </a:endParaRPr>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
  <sheetViews>
    <sheetView tabSelected="1" workbookViewId="0">
      <selection activeCell="D31" sqref="D31"/>
    </sheetView>
  </sheetViews>
  <sheetFormatPr defaultRowHeight="15" x14ac:dyDescent="0.25"/>
  <cols>
    <col min="2" max="2" width="25.42578125" customWidth="1"/>
    <col min="3" max="3" width="17.42578125" customWidth="1"/>
    <col min="4" max="4" width="43.5703125" customWidth="1"/>
  </cols>
  <sheetData>
    <row r="2" spans="2:5" x14ac:dyDescent="0.3">
      <c r="B2" t="s">
        <v>25</v>
      </c>
      <c r="C2" t="s">
        <v>27</v>
      </c>
      <c r="D2" s="468"/>
      <c r="E2" s="468"/>
    </row>
  </sheetData>
  <sheetProtection password="BDDF" sheet="1" objects="1" scenarios="1"/>
  <mergeCells count="1">
    <mergeCell ref="D2:E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2:G87"/>
  <sheetViews>
    <sheetView zoomScale="80" zoomScaleNormal="80" workbookViewId="0">
      <selection activeCell="H26" sqref="H26"/>
    </sheetView>
  </sheetViews>
  <sheetFormatPr defaultColWidth="9.140625" defaultRowHeight="12.75" x14ac:dyDescent="0.2"/>
  <cols>
    <col min="1" max="1" width="6.140625" style="162" customWidth="1"/>
    <col min="2" max="2" width="51" style="162" customWidth="1"/>
    <col min="3" max="3" width="25" style="162" customWidth="1"/>
    <col min="4" max="4" width="35.85546875" style="162" customWidth="1"/>
    <col min="5" max="5" width="13.7109375" style="162" customWidth="1"/>
    <col min="6" max="6" width="14.7109375" style="162" customWidth="1"/>
    <col min="7" max="7" width="11.85546875" style="162" customWidth="1"/>
    <col min="8" max="16384" width="9.140625" style="162"/>
  </cols>
  <sheetData>
    <row r="2" spans="1:7" x14ac:dyDescent="0.2">
      <c r="B2" s="163" t="s">
        <v>417</v>
      </c>
    </row>
    <row r="3" spans="1:7" ht="13.15" x14ac:dyDescent="0.25">
      <c r="B3" s="163" t="s">
        <v>282</v>
      </c>
      <c r="C3" s="163"/>
    </row>
    <row r="4" spans="1:7" ht="14.45" x14ac:dyDescent="0.3">
      <c r="B4" s="4" t="s">
        <v>95</v>
      </c>
      <c r="D4" s="163" t="s">
        <v>410</v>
      </c>
    </row>
    <row r="5" spans="1:7" ht="15" customHeight="1" x14ac:dyDescent="0.25">
      <c r="B5" s="163"/>
    </row>
    <row r="6" spans="1:7" ht="47.25" customHeight="1" thickBot="1" x14ac:dyDescent="0.3">
      <c r="B6" s="420" t="s">
        <v>191</v>
      </c>
      <c r="C6" s="421" t="s">
        <v>192</v>
      </c>
      <c r="D6" s="437" t="s">
        <v>403</v>
      </c>
      <c r="E6" s="422" t="s">
        <v>209</v>
      </c>
      <c r="F6" s="423" t="s">
        <v>392</v>
      </c>
      <c r="G6" s="423" t="s">
        <v>218</v>
      </c>
    </row>
    <row r="7" spans="1:7" ht="14.25" customHeight="1" thickTop="1" x14ac:dyDescent="0.25">
      <c r="B7" s="429" t="s">
        <v>194</v>
      </c>
      <c r="C7" s="429" t="s">
        <v>268</v>
      </c>
      <c r="D7" s="417" t="s">
        <v>195</v>
      </c>
      <c r="E7" s="419"/>
      <c r="F7" s="419"/>
      <c r="G7" s="419">
        <v>2000</v>
      </c>
    </row>
    <row r="8" spans="1:7" ht="14.25" customHeight="1" x14ac:dyDescent="0.25">
      <c r="A8" s="166"/>
      <c r="B8" s="424" t="s">
        <v>0</v>
      </c>
      <c r="C8" s="424" t="s">
        <v>196</v>
      </c>
      <c r="D8" s="159" t="s">
        <v>197</v>
      </c>
      <c r="E8" s="272"/>
      <c r="F8" s="272"/>
      <c r="G8" s="272"/>
    </row>
    <row r="9" spans="1:7" ht="14.25" customHeight="1" x14ac:dyDescent="0.2">
      <c r="A9" s="166"/>
      <c r="B9" s="424" t="s">
        <v>1</v>
      </c>
      <c r="C9" s="424" t="s">
        <v>269</v>
      </c>
      <c r="D9" s="159" t="s">
        <v>297</v>
      </c>
      <c r="E9" s="272"/>
      <c r="F9" s="272">
        <v>0.75</v>
      </c>
      <c r="G9" s="272"/>
    </row>
    <row r="10" spans="1:7" ht="14.25" customHeight="1" x14ac:dyDescent="0.2">
      <c r="A10" s="166"/>
      <c r="B10" s="425" t="s">
        <v>389</v>
      </c>
      <c r="C10" s="425" t="s">
        <v>390</v>
      </c>
      <c r="D10" s="153" t="s">
        <v>260</v>
      </c>
      <c r="E10" s="154">
        <v>30</v>
      </c>
      <c r="F10" s="272"/>
      <c r="G10" s="220">
        <v>2000</v>
      </c>
    </row>
    <row r="11" spans="1:7" ht="14.25" customHeight="1" x14ac:dyDescent="0.25">
      <c r="A11" s="166"/>
      <c r="B11" s="424" t="s">
        <v>2</v>
      </c>
      <c r="C11" s="424" t="s">
        <v>270</v>
      </c>
      <c r="D11" s="159" t="s">
        <v>299</v>
      </c>
      <c r="E11" s="272">
        <v>0.65</v>
      </c>
      <c r="F11" s="272">
        <v>0.25</v>
      </c>
      <c r="G11" s="272">
        <v>10</v>
      </c>
    </row>
    <row r="12" spans="1:7" ht="14.25" customHeight="1" x14ac:dyDescent="0.2">
      <c r="A12" s="166"/>
      <c r="B12" s="425" t="s">
        <v>391</v>
      </c>
      <c r="C12" s="425" t="s">
        <v>198</v>
      </c>
      <c r="D12" s="257" t="s">
        <v>394</v>
      </c>
      <c r="E12" s="409">
        <v>13</v>
      </c>
      <c r="F12" s="409">
        <v>5</v>
      </c>
      <c r="G12" s="156">
        <f>50*10</f>
        <v>500</v>
      </c>
    </row>
    <row r="13" spans="1:7" ht="14.25" customHeight="1" x14ac:dyDescent="0.25">
      <c r="A13" s="166"/>
      <c r="B13" s="424" t="s">
        <v>3</v>
      </c>
      <c r="C13" s="424" t="s">
        <v>272</v>
      </c>
      <c r="D13" s="159" t="s">
        <v>77</v>
      </c>
      <c r="E13" s="272">
        <v>0.4</v>
      </c>
      <c r="F13" s="220">
        <v>0</v>
      </c>
      <c r="G13" s="272">
        <v>24</v>
      </c>
    </row>
    <row r="14" spans="1:7" ht="14.25" customHeight="1" x14ac:dyDescent="0.2">
      <c r="A14" s="166"/>
      <c r="B14" s="425" t="s">
        <v>4</v>
      </c>
      <c r="C14" s="425" t="s">
        <v>303</v>
      </c>
      <c r="D14" s="257" t="s">
        <v>299</v>
      </c>
      <c r="E14" s="410">
        <v>0.35</v>
      </c>
      <c r="F14" s="410">
        <v>0.25</v>
      </c>
      <c r="G14" s="272">
        <v>75</v>
      </c>
    </row>
    <row r="15" spans="1:7" ht="14.25" customHeight="1" x14ac:dyDescent="0.2">
      <c r="A15" s="166"/>
      <c r="B15" s="425" t="s">
        <v>96</v>
      </c>
      <c r="C15" s="425" t="s">
        <v>199</v>
      </c>
      <c r="D15" s="257" t="s">
        <v>394</v>
      </c>
      <c r="E15" s="157">
        <f>E12</f>
        <v>13</v>
      </c>
      <c r="F15" s="157">
        <f>F12</f>
        <v>5</v>
      </c>
      <c r="G15" s="157">
        <f>40*10</f>
        <v>400</v>
      </c>
    </row>
    <row r="16" spans="1:7" ht="14.25" customHeight="1" x14ac:dyDescent="0.2">
      <c r="A16" s="166"/>
      <c r="B16" s="425" t="s">
        <v>6</v>
      </c>
      <c r="C16" s="425" t="s">
        <v>303</v>
      </c>
      <c r="D16" s="159" t="s">
        <v>299</v>
      </c>
      <c r="E16" s="406">
        <f>E14</f>
        <v>0.35</v>
      </c>
      <c r="F16" s="406">
        <f>F14</f>
        <v>0.25</v>
      </c>
      <c r="G16" s="272">
        <v>75</v>
      </c>
    </row>
    <row r="17" spans="1:7" ht="14.25" customHeight="1" x14ac:dyDescent="0.2">
      <c r="A17" s="166"/>
      <c r="B17" s="425" t="s">
        <v>97</v>
      </c>
      <c r="C17" s="425" t="s">
        <v>199</v>
      </c>
      <c r="D17" s="257" t="s">
        <v>394</v>
      </c>
      <c r="E17" s="157">
        <f>E12</f>
        <v>13</v>
      </c>
      <c r="F17" s="157">
        <f>F12</f>
        <v>5</v>
      </c>
      <c r="G17" s="157">
        <f>40*10</f>
        <v>400</v>
      </c>
    </row>
    <row r="18" spans="1:7" ht="14.25" customHeight="1" x14ac:dyDescent="0.2">
      <c r="A18" s="166"/>
      <c r="B18" s="425" t="s">
        <v>98</v>
      </c>
      <c r="C18" s="425" t="s">
        <v>304</v>
      </c>
      <c r="D18" s="159" t="s">
        <v>299</v>
      </c>
      <c r="E18" s="426">
        <v>1.2</v>
      </c>
      <c r="F18" s="426">
        <v>0.8</v>
      </c>
      <c r="G18" s="272">
        <v>15</v>
      </c>
    </row>
    <row r="19" spans="1:7" ht="14.25" customHeight="1" x14ac:dyDescent="0.2">
      <c r="A19" s="166"/>
      <c r="B19" s="425" t="s">
        <v>99</v>
      </c>
      <c r="C19" s="425" t="s">
        <v>200</v>
      </c>
      <c r="D19" s="257" t="s">
        <v>394</v>
      </c>
      <c r="E19" s="157">
        <f>E12</f>
        <v>13</v>
      </c>
      <c r="F19" s="157">
        <f>F12</f>
        <v>5</v>
      </c>
      <c r="G19" s="272">
        <f>10*10</f>
        <v>100</v>
      </c>
    </row>
    <row r="20" spans="1:7" ht="14.25" customHeight="1" x14ac:dyDescent="0.2">
      <c r="A20" s="166"/>
      <c r="B20" s="425" t="s">
        <v>9</v>
      </c>
      <c r="C20" s="425" t="s">
        <v>305</v>
      </c>
      <c r="D20" s="159" t="s">
        <v>299</v>
      </c>
      <c r="E20" s="406">
        <f>E14</f>
        <v>0.35</v>
      </c>
      <c r="F20" s="406">
        <f>F14</f>
        <v>0.25</v>
      </c>
      <c r="G20" s="272">
        <v>60</v>
      </c>
    </row>
    <row r="21" spans="1:7" ht="14.25" customHeight="1" x14ac:dyDescent="0.2">
      <c r="A21" s="166"/>
      <c r="B21" s="425" t="s">
        <v>100</v>
      </c>
      <c r="C21" s="425" t="s">
        <v>199</v>
      </c>
      <c r="D21" s="257" t="s">
        <v>394</v>
      </c>
      <c r="E21" s="157">
        <f>E12</f>
        <v>13</v>
      </c>
      <c r="F21" s="157">
        <f>F12</f>
        <v>5</v>
      </c>
      <c r="G21" s="157">
        <f>40*10</f>
        <v>400</v>
      </c>
    </row>
    <row r="22" spans="1:7" ht="14.25" customHeight="1" x14ac:dyDescent="0.2">
      <c r="A22" s="166"/>
      <c r="B22" s="425" t="s">
        <v>11</v>
      </c>
      <c r="C22" s="425" t="s">
        <v>303</v>
      </c>
      <c r="D22" s="159" t="s">
        <v>299</v>
      </c>
      <c r="E22" s="406">
        <f>E14</f>
        <v>0.35</v>
      </c>
      <c r="F22" s="406">
        <f>F14</f>
        <v>0.25</v>
      </c>
      <c r="G22" s="272">
        <v>75</v>
      </c>
    </row>
    <row r="23" spans="1:7" ht="14.25" customHeight="1" x14ac:dyDescent="0.25">
      <c r="A23" s="166"/>
      <c r="B23" s="159" t="s">
        <v>12</v>
      </c>
      <c r="C23" s="159" t="s">
        <v>288</v>
      </c>
      <c r="D23" s="159" t="s">
        <v>293</v>
      </c>
      <c r="E23" s="220">
        <v>5</v>
      </c>
      <c r="F23" s="272"/>
      <c r="G23" s="272"/>
    </row>
    <row r="24" spans="1:7" ht="14.25" customHeight="1" x14ac:dyDescent="0.2">
      <c r="A24" s="166"/>
      <c r="B24" s="159" t="s">
        <v>13</v>
      </c>
      <c r="C24" s="159" t="s">
        <v>201</v>
      </c>
      <c r="D24" s="159" t="s">
        <v>294</v>
      </c>
      <c r="E24" s="272">
        <v>8.1999999999999993</v>
      </c>
      <c r="F24" s="272"/>
      <c r="G24" s="272"/>
    </row>
    <row r="25" spans="1:7" ht="14.25" customHeight="1" x14ac:dyDescent="0.2">
      <c r="A25" s="166"/>
      <c r="B25" s="159" t="s">
        <v>14</v>
      </c>
      <c r="C25" s="159" t="s">
        <v>201</v>
      </c>
      <c r="D25" s="159" t="s">
        <v>295</v>
      </c>
      <c r="E25" s="220">
        <v>14</v>
      </c>
      <c r="F25" s="272"/>
      <c r="G25" s="272"/>
    </row>
    <row r="26" spans="1:7" ht="14.25" customHeight="1" x14ac:dyDescent="0.2">
      <c r="A26" s="166"/>
      <c r="B26" s="159" t="s">
        <v>15</v>
      </c>
      <c r="C26" s="159" t="s">
        <v>202</v>
      </c>
      <c r="D26" s="159" t="s">
        <v>418</v>
      </c>
      <c r="E26" s="427">
        <v>8</v>
      </c>
      <c r="F26" s="155"/>
      <c r="G26" s="155"/>
    </row>
    <row r="27" spans="1:7" ht="14.25" customHeight="1" x14ac:dyDescent="0.2">
      <c r="A27" s="166"/>
      <c r="B27" s="159" t="s">
        <v>283</v>
      </c>
      <c r="C27" s="159" t="s">
        <v>203</v>
      </c>
      <c r="D27" s="159" t="s">
        <v>418</v>
      </c>
      <c r="E27" s="220">
        <v>6</v>
      </c>
      <c r="F27" s="272"/>
      <c r="G27" s="272"/>
    </row>
    <row r="28" spans="1:7" ht="15.75" customHeight="1" x14ac:dyDescent="0.25">
      <c r="A28" s="166"/>
      <c r="B28" s="159" t="s">
        <v>17</v>
      </c>
      <c r="C28" s="159"/>
      <c r="D28" s="159" t="s">
        <v>289</v>
      </c>
      <c r="E28" s="272">
        <v>0.04</v>
      </c>
      <c r="F28" s="272"/>
      <c r="G28" s="272"/>
    </row>
    <row r="29" spans="1:7" ht="14.25" customHeight="1" x14ac:dyDescent="0.2">
      <c r="A29" s="166"/>
      <c r="B29" s="159" t="s">
        <v>284</v>
      </c>
      <c r="C29" s="159" t="s">
        <v>201</v>
      </c>
      <c r="D29" s="159" t="s">
        <v>301</v>
      </c>
      <c r="E29" s="256">
        <v>0.02</v>
      </c>
      <c r="F29" s="272"/>
      <c r="G29" s="272"/>
    </row>
    <row r="30" spans="1:7" ht="14.25" customHeight="1" x14ac:dyDescent="0.25">
      <c r="A30" s="166"/>
      <c r="B30" s="159" t="s">
        <v>19</v>
      </c>
      <c r="C30" s="159" t="s">
        <v>204</v>
      </c>
      <c r="D30" s="159" t="s">
        <v>205</v>
      </c>
      <c r="E30" s="272" t="s">
        <v>205</v>
      </c>
      <c r="F30" s="272"/>
      <c r="G30" s="272"/>
    </row>
    <row r="31" spans="1:7" ht="14.25" customHeight="1" x14ac:dyDescent="0.25">
      <c r="A31" s="166"/>
      <c r="B31" s="159" t="s">
        <v>20</v>
      </c>
      <c r="C31" s="159" t="s">
        <v>206</v>
      </c>
      <c r="D31" s="159" t="s">
        <v>290</v>
      </c>
      <c r="E31" s="272">
        <v>0.95</v>
      </c>
      <c r="F31" s="272"/>
      <c r="G31" s="272"/>
    </row>
    <row r="32" spans="1:7" ht="14.25" customHeight="1" x14ac:dyDescent="0.25">
      <c r="A32" s="166"/>
      <c r="B32" s="159" t="s">
        <v>21</v>
      </c>
      <c r="C32" s="159" t="s">
        <v>207</v>
      </c>
      <c r="D32" s="159" t="s">
        <v>291</v>
      </c>
      <c r="E32" s="272">
        <v>3</v>
      </c>
      <c r="F32" s="272"/>
      <c r="G32" s="272"/>
    </row>
    <row r="33" spans="1:7" ht="14.25" customHeight="1" x14ac:dyDescent="0.25">
      <c r="A33" s="166"/>
      <c r="B33" s="159" t="s">
        <v>22</v>
      </c>
      <c r="C33" s="159" t="s">
        <v>195</v>
      </c>
      <c r="D33" s="159" t="s">
        <v>195</v>
      </c>
      <c r="E33" s="272" t="s">
        <v>205</v>
      </c>
      <c r="F33" s="272"/>
      <c r="G33" s="272"/>
    </row>
    <row r="34" spans="1:7" ht="14.25" customHeight="1" x14ac:dyDescent="0.25">
      <c r="A34" s="166"/>
      <c r="B34" s="159" t="s">
        <v>23</v>
      </c>
      <c r="C34" s="159" t="s">
        <v>208</v>
      </c>
      <c r="D34" s="159" t="s">
        <v>298</v>
      </c>
      <c r="E34" s="428">
        <f>75/100</f>
        <v>0.75</v>
      </c>
      <c r="F34" s="272"/>
      <c r="G34" s="272"/>
    </row>
    <row r="35" spans="1:7" ht="14.25" customHeight="1" thickBot="1" x14ac:dyDescent="0.3">
      <c r="A35" s="166"/>
      <c r="B35" s="416" t="s">
        <v>24</v>
      </c>
      <c r="C35" s="416" t="s">
        <v>195</v>
      </c>
      <c r="D35" s="416" t="s">
        <v>195</v>
      </c>
      <c r="E35" s="433" t="s">
        <v>205</v>
      </c>
      <c r="F35" s="434"/>
      <c r="G35" s="434"/>
    </row>
    <row r="36" spans="1:7" ht="14.25" customHeight="1" thickTop="1" x14ac:dyDescent="0.25">
      <c r="A36" s="166"/>
      <c r="B36" s="161"/>
      <c r="C36" s="161"/>
      <c r="D36" s="161"/>
      <c r="E36" s="129"/>
      <c r="F36" s="129"/>
      <c r="G36" s="129"/>
    </row>
    <row r="37" spans="1:7" ht="15" customHeight="1" thickBot="1" x14ac:dyDescent="0.3">
      <c r="A37" s="166"/>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row r="47" spans="1:7" ht="13.5" customHeight="1" x14ac:dyDescent="0.25"/>
    <row r="48" spans="1:7" ht="24" customHeight="1" x14ac:dyDescent="0.2">
      <c r="B48" s="482" t="s">
        <v>393</v>
      </c>
      <c r="C48" s="482"/>
      <c r="D48" s="482"/>
    </row>
    <row r="49" spans="1:6" ht="21" customHeight="1" x14ac:dyDescent="0.25">
      <c r="B49" s="133" t="s">
        <v>219</v>
      </c>
      <c r="F49" s="287"/>
    </row>
    <row r="50" spans="1:6" ht="14.25" customHeight="1" x14ac:dyDescent="0.25">
      <c r="B50" s="271" t="s">
        <v>217</v>
      </c>
      <c r="C50" s="167">
        <v>7.0000000000000007E-2</v>
      </c>
      <c r="D50" s="168" t="s">
        <v>257</v>
      </c>
    </row>
    <row r="51" spans="1:6" ht="15" customHeight="1" x14ac:dyDescent="0.25"/>
    <row r="52" spans="1:6" ht="15" customHeight="1" x14ac:dyDescent="0.25">
      <c r="B52" s="271" t="s">
        <v>211</v>
      </c>
      <c r="C52" s="272" t="s">
        <v>212</v>
      </c>
      <c r="D52" s="167" t="s">
        <v>149</v>
      </c>
    </row>
    <row r="53" spans="1:6" ht="14.25" customHeight="1" x14ac:dyDescent="0.25">
      <c r="B53" s="131" t="s">
        <v>151</v>
      </c>
      <c r="C53" s="169">
        <v>0.61</v>
      </c>
      <c r="D53" s="170" t="s">
        <v>152</v>
      </c>
    </row>
    <row r="54" spans="1:6" ht="14.25" customHeight="1" x14ac:dyDescent="0.25">
      <c r="B54" s="131" t="str">
        <f>"Batt Insulation R"&amp;C54</f>
        <v>Batt Insulation R30</v>
      </c>
      <c r="C54" s="222">
        <f>E10</f>
        <v>30</v>
      </c>
      <c r="D54" s="131"/>
    </row>
    <row r="55" spans="1:6" ht="14.25" customHeight="1" x14ac:dyDescent="0.25">
      <c r="B55" s="131" t="s">
        <v>153</v>
      </c>
      <c r="C55" s="169">
        <v>4.38</v>
      </c>
      <c r="D55" s="131" t="s">
        <v>154</v>
      </c>
    </row>
    <row r="56" spans="1:6" ht="14.25" customHeight="1" x14ac:dyDescent="0.25">
      <c r="B56" s="131" t="s">
        <v>215</v>
      </c>
      <c r="C56" s="169">
        <v>0.45</v>
      </c>
      <c r="D56" s="131" t="s">
        <v>155</v>
      </c>
    </row>
    <row r="57" spans="1:6" ht="14.25" customHeight="1" x14ac:dyDescent="0.25">
      <c r="B57" s="132" t="s">
        <v>156</v>
      </c>
      <c r="C57" s="171">
        <v>0.92</v>
      </c>
      <c r="D57" s="132" t="s">
        <v>157</v>
      </c>
    </row>
    <row r="60" spans="1:6" ht="13.15" x14ac:dyDescent="0.25">
      <c r="B60" s="162" t="s">
        <v>242</v>
      </c>
    </row>
    <row r="61" spans="1:6" ht="39" customHeight="1" x14ac:dyDescent="0.2">
      <c r="B61" s="484" t="s">
        <v>413</v>
      </c>
      <c r="C61" s="484"/>
      <c r="D61" s="484"/>
      <c r="E61" s="180"/>
    </row>
    <row r="62" spans="1:6" ht="16.5" customHeight="1" x14ac:dyDescent="0.25">
      <c r="A62" s="180"/>
      <c r="B62" s="271" t="s">
        <v>222</v>
      </c>
      <c r="C62" s="269">
        <f>0.25</f>
        <v>0.25</v>
      </c>
      <c r="D62" s="272"/>
      <c r="E62" s="180"/>
    </row>
    <row r="63" spans="1:6" ht="13.5" customHeight="1" x14ac:dyDescent="0.25">
      <c r="A63" s="172"/>
      <c r="E63" s="129"/>
    </row>
    <row r="64" spans="1:6" ht="16.5" customHeight="1" x14ac:dyDescent="0.25">
      <c r="B64" s="133" t="s">
        <v>220</v>
      </c>
      <c r="E64" s="181"/>
    </row>
    <row r="65" spans="1:7" ht="16.5" customHeight="1" x14ac:dyDescent="0.25">
      <c r="B65" s="271" t="s">
        <v>211</v>
      </c>
      <c r="C65" s="272" t="s">
        <v>212</v>
      </c>
      <c r="D65" s="167" t="s">
        <v>149</v>
      </c>
      <c r="E65" s="181"/>
    </row>
    <row r="66" spans="1:7" ht="15.75" customHeight="1" x14ac:dyDescent="0.25">
      <c r="A66" s="169"/>
      <c r="B66" s="130" t="s">
        <v>162</v>
      </c>
      <c r="C66" s="182">
        <v>0.25</v>
      </c>
      <c r="D66" s="174" t="s">
        <v>157</v>
      </c>
      <c r="E66" s="183"/>
    </row>
    <row r="67" spans="1:7" ht="15.75" customHeight="1" x14ac:dyDescent="0.2">
      <c r="A67" s="169"/>
      <c r="B67" s="131" t="s">
        <v>221</v>
      </c>
      <c r="C67" s="175">
        <f>0.8/9.7</f>
        <v>8.2474226804123724E-2</v>
      </c>
      <c r="D67" s="184" t="s">
        <v>163</v>
      </c>
      <c r="E67" s="183"/>
    </row>
    <row r="68" spans="1:7" ht="15.75" customHeight="1" x14ac:dyDescent="0.25">
      <c r="A68" s="169"/>
      <c r="B68" s="131" t="str">
        <f>"Continuous Rigid Insulation R"&amp;C68</f>
        <v>Continuous Rigid Insulation R5</v>
      </c>
      <c r="C68" s="221">
        <f>F12</f>
        <v>5</v>
      </c>
      <c r="D68" s="187"/>
      <c r="E68" s="183"/>
    </row>
    <row r="69" spans="1:7" ht="15.75" customHeight="1" x14ac:dyDescent="0.25">
      <c r="A69" s="169"/>
      <c r="B69" s="131" t="s">
        <v>411</v>
      </c>
      <c r="C69" s="197">
        <v>0.15</v>
      </c>
      <c r="D69" s="447" t="s">
        <v>412</v>
      </c>
      <c r="E69" s="322"/>
      <c r="F69" s="322"/>
      <c r="G69" s="180"/>
    </row>
    <row r="70" spans="1:7" ht="15.75" customHeight="1" x14ac:dyDescent="0.2">
      <c r="A70" s="169"/>
      <c r="B70" s="131" t="s">
        <v>277</v>
      </c>
      <c r="C70" s="183">
        <v>0.79</v>
      </c>
      <c r="D70" s="185" t="s">
        <v>155</v>
      </c>
      <c r="E70" s="186"/>
    </row>
    <row r="71" spans="1:7" ht="15.75" customHeight="1" x14ac:dyDescent="0.2">
      <c r="A71" s="169"/>
      <c r="B71" s="131" t="s">
        <v>153</v>
      </c>
      <c r="C71" s="183">
        <v>4.38</v>
      </c>
      <c r="D71" s="185" t="s">
        <v>154</v>
      </c>
      <c r="E71" s="169"/>
    </row>
    <row r="72" spans="1:7" ht="15.75" customHeight="1" x14ac:dyDescent="0.2">
      <c r="A72" s="169"/>
      <c r="B72" s="131" t="str">
        <f>"Fiber Glass Batt Insulation"&amp;" R"&amp;C72</f>
        <v>Fiber Glass Batt Insulation R13</v>
      </c>
      <c r="C72" s="221">
        <f>E12</f>
        <v>13</v>
      </c>
      <c r="D72" s="187"/>
      <c r="E72" s="169"/>
    </row>
    <row r="73" spans="1:7" ht="15.75" customHeight="1" x14ac:dyDescent="0.2">
      <c r="A73" s="169"/>
      <c r="B73" s="131" t="s">
        <v>215</v>
      </c>
      <c r="C73" s="169">
        <v>0.45</v>
      </c>
      <c r="D73" s="170" t="s">
        <v>155</v>
      </c>
    </row>
    <row r="74" spans="1:7" ht="15.75" customHeight="1" x14ac:dyDescent="0.2">
      <c r="A74" s="169"/>
      <c r="B74" s="132" t="s">
        <v>167</v>
      </c>
      <c r="C74" s="171">
        <v>0.68</v>
      </c>
      <c r="D74" s="188" t="s">
        <v>157</v>
      </c>
    </row>
    <row r="75" spans="1:7" ht="14.25" customHeight="1" x14ac:dyDescent="0.2"/>
    <row r="76" spans="1:7" ht="14.25" customHeight="1" x14ac:dyDescent="0.2"/>
    <row r="77" spans="1:7" x14ac:dyDescent="0.2">
      <c r="B77" s="202"/>
    </row>
    <row r="78" spans="1:7" ht="15" customHeight="1" x14ac:dyDescent="0.2">
      <c r="B78" s="202" t="s">
        <v>189</v>
      </c>
    </row>
    <row r="79" spans="1:7" ht="34.5" customHeight="1" x14ac:dyDescent="0.2">
      <c r="B79" s="481" t="s">
        <v>190</v>
      </c>
      <c r="C79" s="481"/>
      <c r="D79" s="481"/>
    </row>
    <row r="82" spans="1:5" ht="15.75" customHeight="1" x14ac:dyDescent="0.2">
      <c r="A82" s="169"/>
      <c r="E82" s="169"/>
    </row>
    <row r="83" spans="1:5" x14ac:dyDescent="0.2">
      <c r="C83" s="202"/>
    </row>
    <row r="84" spans="1:5" x14ac:dyDescent="0.2">
      <c r="A84" s="166"/>
    </row>
    <row r="85" spans="1:5" x14ac:dyDescent="0.2">
      <c r="A85" s="166"/>
    </row>
    <row r="86" spans="1:5" x14ac:dyDescent="0.2">
      <c r="A86" s="166"/>
    </row>
    <row r="87" spans="1:5" x14ac:dyDescent="0.2">
      <c r="A87" s="166"/>
    </row>
  </sheetData>
  <sheetProtection password="BDDF" sheet="1" objects="1" scenarios="1"/>
  <mergeCells count="3">
    <mergeCell ref="B48:D48"/>
    <mergeCell ref="B61:D61"/>
    <mergeCell ref="B79:D79"/>
  </mergeCells>
  <pageMargins left="0.7" right="0.7" top="0.75" bottom="0.75" header="0.3" footer="0.3"/>
  <pageSetup scale="55" orientation="portrait" r:id="rId1"/>
  <rowBreaks count="1" manualBreakCount="1">
    <brk id="36"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85" zoomScaleNormal="85" workbookViewId="0">
      <selection activeCell="F109" sqref="F109"/>
    </sheetView>
  </sheetViews>
  <sheetFormatPr defaultRowHeight="15" x14ac:dyDescent="0.25"/>
  <cols>
    <col min="1" max="1" width="4.42578125" customWidth="1"/>
    <col min="2" max="2" width="46.7109375" customWidth="1"/>
    <col min="3" max="3" width="23.140625" customWidth="1"/>
    <col min="4" max="4" width="20.28515625" customWidth="1"/>
    <col min="5" max="5" width="21" customWidth="1"/>
    <col min="6" max="6" width="20.140625" customWidth="1"/>
    <col min="7" max="7" width="26.28515625" customWidth="1"/>
    <col min="8" max="8" width="26.28515625" hidden="1" customWidth="1"/>
    <col min="9" max="9" width="24.7109375" customWidth="1"/>
  </cols>
  <sheetData>
    <row r="1" spans="1:8" ht="7.5" customHeight="1" x14ac:dyDescent="0.3">
      <c r="A1" s="13"/>
      <c r="B1" s="13"/>
      <c r="C1" s="13"/>
      <c r="D1" s="13"/>
      <c r="E1" s="13"/>
      <c r="F1" s="13"/>
      <c r="G1" s="13"/>
    </row>
    <row r="3" spans="1:8" ht="34.5" customHeight="1" x14ac:dyDescent="0.3">
      <c r="B3" s="103" t="s">
        <v>25</v>
      </c>
      <c r="C3" s="103" t="s">
        <v>27</v>
      </c>
      <c r="D3" s="469" t="str">
        <f>IF(Instructions!D2="","Enter Vendor's Software Name In Instruction Sheet",Instructions!D2)</f>
        <v>Enter Vendor's Software Name In Instruction Sheet</v>
      </c>
      <c r="E3" s="469"/>
    </row>
    <row r="4" spans="1:8" ht="15" customHeight="1" x14ac:dyDescent="0.3">
      <c r="B4" s="32" t="str">
        <f>D_M01!B2</f>
        <v xml:space="preserve">Prescriptive Test: House M01 (Pr-M01) Characteristics – Location: Miami, Florida. </v>
      </c>
      <c r="C4" s="32"/>
      <c r="D4" s="32"/>
      <c r="E4" s="32"/>
    </row>
    <row r="5" spans="1:8" ht="15" customHeight="1" x14ac:dyDescent="0.3">
      <c r="B5" s="328" t="str">
        <f>D_M01!B3</f>
        <v>Single Family Detached Home with No Attached Garage, Single Story, Three bedroom.</v>
      </c>
      <c r="C5" s="32"/>
      <c r="D5" s="32"/>
      <c r="E5" s="32"/>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1" t="str">
        <f>D_M01!B4</f>
        <v>House Pr-M01</v>
      </c>
      <c r="C9" s="10" t="s">
        <v>243</v>
      </c>
      <c r="D9" s="117" t="s">
        <v>75</v>
      </c>
      <c r="E9" s="4"/>
    </row>
    <row r="10" spans="1:8" thickBot="1" x14ac:dyDescent="0.35">
      <c r="C10" s="10" t="s">
        <v>86</v>
      </c>
      <c r="D10" s="10" t="s">
        <v>29</v>
      </c>
      <c r="E10" s="4"/>
    </row>
    <row r="11" spans="1:8" thickBot="1" x14ac:dyDescent="0.35">
      <c r="B11" s="248" t="str">
        <f>D_M01!B8</f>
        <v>Slab-on-grade Floor</v>
      </c>
      <c r="C11" s="104"/>
      <c r="D11" s="106" t="str">
        <f>IF(C11="Complies","Pass","Fail")</f>
        <v>Fail</v>
      </c>
      <c r="E11" s="6"/>
      <c r="H11" s="9">
        <f t="shared" ref="H11:H23" si="0">IF(OR(D11="Not applicable",D11="Software Doesn't Check",D11="Pass"),0,1)</f>
        <v>1</v>
      </c>
    </row>
    <row r="12" spans="1:8" ht="15.75" thickBot="1" x14ac:dyDescent="0.3">
      <c r="B12" s="249" t="str">
        <f>D_M01!B9</f>
        <v>Roof – gable type- 5 in 12 slope No overhangs</v>
      </c>
      <c r="C12" s="104"/>
      <c r="D12" s="106" t="str">
        <f>IF(C12="Complies","Pass","Fail")</f>
        <v>Fail</v>
      </c>
      <c r="E12" s="6"/>
      <c r="H12" s="9">
        <f t="shared" si="0"/>
        <v>1</v>
      </c>
    </row>
    <row r="13" spans="1:8" ht="15.75" thickBot="1" x14ac:dyDescent="0.3">
      <c r="B13" s="249" t="str">
        <f>D_M01!B10</f>
        <v>Ceiling1 –flat under attic</v>
      </c>
      <c r="C13" s="104"/>
      <c r="D13" s="106" t="str">
        <f>IF(C13="Complies","Pass","Fail")</f>
        <v>Fail</v>
      </c>
      <c r="E13" s="6"/>
      <c r="H13" s="9">
        <f t="shared" si="0"/>
        <v>1</v>
      </c>
    </row>
    <row r="14" spans="1:8" thickBot="1" x14ac:dyDescent="0.35">
      <c r="B14" s="249" t="str">
        <f>D_M01!B11</f>
        <v xml:space="preserve">        Skylight</v>
      </c>
      <c r="C14" s="104"/>
      <c r="D14" s="106" t="str">
        <f>IF(C14="Complies","Pass","Fail")</f>
        <v>Fail</v>
      </c>
      <c r="E14" s="6"/>
      <c r="H14" s="9">
        <f t="shared" si="0"/>
        <v>1</v>
      </c>
    </row>
    <row r="15" spans="1:8" ht="15.75" thickBot="1" x14ac:dyDescent="0.3">
      <c r="B15" s="249" t="str">
        <f>D_M01!B12</f>
        <v>Wall 1 –faces North, CBS2</v>
      </c>
      <c r="C15" s="104"/>
      <c r="D15" s="106" t="str">
        <f>IF(C15="Complies","Pass","Fail")</f>
        <v>Fail</v>
      </c>
      <c r="E15" s="6"/>
      <c r="H15" s="9">
        <f t="shared" si="0"/>
        <v>1</v>
      </c>
    </row>
    <row r="16" spans="1:8" thickBot="1" x14ac:dyDescent="0.35">
      <c r="B16" s="249" t="str">
        <f>D_M01!B13</f>
        <v xml:space="preserve">        Door 1 - </v>
      </c>
      <c r="C16" s="107" t="s">
        <v>63</v>
      </c>
      <c r="D16" s="106" t="s">
        <v>63</v>
      </c>
      <c r="E16" s="6"/>
      <c r="H16" s="9">
        <f t="shared" si="0"/>
        <v>0</v>
      </c>
    </row>
    <row r="17" spans="2:8" ht="15.75" thickBot="1" x14ac:dyDescent="0.3">
      <c r="B17" s="249" t="str">
        <f>D_M01!B14</f>
        <v xml:space="preserve">        Window 1 – Vinyl Frame Low-e Double</v>
      </c>
      <c r="C17" s="107" t="s">
        <v>63</v>
      </c>
      <c r="D17" s="106" t="s">
        <v>63</v>
      </c>
      <c r="E17" s="6"/>
      <c r="H17" s="9">
        <f t="shared" si="0"/>
        <v>0</v>
      </c>
    </row>
    <row r="18" spans="2:8" ht="15.75" thickBot="1" x14ac:dyDescent="0.3">
      <c r="B18" s="249" t="str">
        <f>D_M01!B15</f>
        <v>Wall 2 –faces East, CBS</v>
      </c>
      <c r="C18" s="104"/>
      <c r="D18" s="106" t="str">
        <f>IF(C18="Complies","Pass","Fail")</f>
        <v>Fail</v>
      </c>
      <c r="E18" s="6"/>
      <c r="H18" s="9">
        <f t="shared" si="0"/>
        <v>1</v>
      </c>
    </row>
    <row r="19" spans="2:8" ht="15.75" thickBot="1" x14ac:dyDescent="0.3">
      <c r="B19" s="249" t="str">
        <f>D_M01!B16</f>
        <v xml:space="preserve">        Window 2 – Vinyl Frame Low-e Double</v>
      </c>
      <c r="C19" s="107" t="s">
        <v>63</v>
      </c>
      <c r="D19" s="106" t="s">
        <v>63</v>
      </c>
      <c r="E19" s="6"/>
      <c r="H19" s="9">
        <f t="shared" si="0"/>
        <v>0</v>
      </c>
    </row>
    <row r="20" spans="2:8" ht="15.75" thickBot="1" x14ac:dyDescent="0.3">
      <c r="B20" s="249" t="str">
        <f>D_M01!B17</f>
        <v>Wall 3 –faces South, CBS</v>
      </c>
      <c r="C20" s="104"/>
      <c r="D20" s="106" t="str">
        <f>IF(C20="Complies","Pass","Fail")</f>
        <v>Fail</v>
      </c>
      <c r="E20" s="6"/>
      <c r="H20" s="9">
        <f t="shared" si="0"/>
        <v>1</v>
      </c>
    </row>
    <row r="21" spans="2:8" ht="15.75" thickBot="1" x14ac:dyDescent="0.3">
      <c r="B21" s="249" t="str">
        <f>D_M01!B18</f>
        <v xml:space="preserve">        Window 3 – Vinyl Frame Low-e Double</v>
      </c>
      <c r="C21" s="107" t="s">
        <v>63</v>
      </c>
      <c r="D21" s="106" t="s">
        <v>63</v>
      </c>
      <c r="E21" s="6"/>
      <c r="H21" s="9">
        <f t="shared" si="0"/>
        <v>0</v>
      </c>
    </row>
    <row r="22" spans="2:8" ht="15.75" thickBot="1" x14ac:dyDescent="0.3">
      <c r="B22" s="249" t="str">
        <f>D_M01!B19</f>
        <v>Wall 4 –faces South, Wood3 2x4 Stud</v>
      </c>
      <c r="C22" s="104"/>
      <c r="D22" s="106" t="str">
        <f>IF(C22="Complies","Pass","Fail")</f>
        <v>Fail</v>
      </c>
      <c r="E22" s="6"/>
      <c r="H22" s="9">
        <f t="shared" si="0"/>
        <v>1</v>
      </c>
    </row>
    <row r="23" spans="2:8" ht="15.75" thickBot="1" x14ac:dyDescent="0.3">
      <c r="B23" s="249" t="str">
        <f>D_M01!B20</f>
        <v xml:space="preserve">        Window 4 – Vinyl Frame  Low-e Double</v>
      </c>
      <c r="C23" s="107" t="s">
        <v>63</v>
      </c>
      <c r="D23" s="106" t="s">
        <v>63</v>
      </c>
      <c r="E23" s="6"/>
      <c r="H23" s="9">
        <f t="shared" si="0"/>
        <v>0</v>
      </c>
    </row>
    <row r="24" spans="2:8" ht="15.75" thickBot="1" x14ac:dyDescent="0.3">
      <c r="B24" s="249" t="str">
        <f>D_M01!B21</f>
        <v>Wall 5 –faces West, CBS</v>
      </c>
      <c r="C24" s="104"/>
      <c r="D24" s="106" t="str">
        <f>IF(C24="Complies","Pass","Fail")</f>
        <v>Fail</v>
      </c>
      <c r="E24" s="6"/>
      <c r="H24" s="9">
        <f>IF(OR(D24="Not applicable",D24="Software Doesn't Check",D24="Pass"),0,1)</f>
        <v>1</v>
      </c>
    </row>
    <row r="25" spans="2:8" ht="15.75" thickBot="1" x14ac:dyDescent="0.3">
      <c r="B25" s="249" t="str">
        <f>D_M01!B22</f>
        <v xml:space="preserve">        Window 5 – Vinyl Frame Low-e Double</v>
      </c>
      <c r="C25" s="108" t="s">
        <v>63</v>
      </c>
      <c r="D25" s="106" t="str">
        <f>IF(C25="Complies","Pass","Fail")</f>
        <v>Fail</v>
      </c>
      <c r="E25" s="6"/>
      <c r="H25" s="9">
        <f t="shared" ref="H25:H46" si="1">IF(OR(D25="Not applicable",D25="Software Doesn't Check",D25="Pass"),0,1)</f>
        <v>1</v>
      </c>
    </row>
    <row r="26" spans="2:8" thickBot="1" x14ac:dyDescent="0.35">
      <c r="B26" s="249" t="str">
        <f>D_M01!B23</f>
        <v>Infiltration</v>
      </c>
      <c r="C26" s="109"/>
      <c r="D26" s="106" t="str">
        <f>IF(C26="Complies","Pass",IF(C26="Not part of software","Software Doesn't Check","Fail"))</f>
        <v>Fail</v>
      </c>
      <c r="E26" s="6"/>
      <c r="H26" s="9">
        <f t="shared" si="1"/>
        <v>1</v>
      </c>
    </row>
    <row r="27" spans="2:8" ht="15.75" thickBot="1" x14ac:dyDescent="0.3">
      <c r="B27" s="249" t="str">
        <f>D_M01!B24</f>
        <v>Heating – heat pump</v>
      </c>
      <c r="C27" s="114"/>
      <c r="D27" s="106" t="str">
        <f>IF(C27="Complies","Pass",IF(C27="Not part of software","Software Doesn't Check","Fail"))</f>
        <v>Fail</v>
      </c>
      <c r="E27" s="6"/>
      <c r="H27" s="9">
        <f t="shared" si="1"/>
        <v>1</v>
      </c>
    </row>
    <row r="28" spans="2:8" ht="15.75" thickBot="1" x14ac:dyDescent="0.3">
      <c r="B28" s="249" t="str">
        <f>D_M01!B25</f>
        <v>Cooling – heat pump</v>
      </c>
      <c r="C28" s="104"/>
      <c r="D28" s="106" t="str">
        <f>IF(C28="Complies","Pass",IF(C28="Not part of software","Software Doesn't Check","Fail"))</f>
        <v>Fail</v>
      </c>
      <c r="E28" s="6"/>
      <c r="H28" s="9">
        <f t="shared" si="1"/>
        <v>1</v>
      </c>
    </row>
    <row r="29" spans="2:8" ht="15.75" thickBot="1" x14ac:dyDescent="0.3">
      <c r="B29" s="249" t="str">
        <f>D_M01!B26</f>
        <v>Ducts – supply in attic</v>
      </c>
      <c r="C29" s="104"/>
      <c r="D29" s="106" t="str">
        <f>IF(C29="Complies","Pass",IF(C29="Not part of software","Software Doesn't Check","Fail"))</f>
        <v>Fail</v>
      </c>
      <c r="E29" s="6"/>
      <c r="H29" s="9">
        <f t="shared" si="1"/>
        <v>1</v>
      </c>
    </row>
    <row r="30" spans="2:8" ht="15.75" thickBot="1" x14ac:dyDescent="0.3">
      <c r="B30" s="249" t="str">
        <f>D_M01!B27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D_M01!B28</f>
        <v>Duct Tightness</v>
      </c>
      <c r="C31" s="104"/>
      <c r="D31" s="106" t="str">
        <f t="shared" si="2"/>
        <v>Fail</v>
      </c>
      <c r="E31" s="6"/>
      <c r="H31" s="9">
        <f t="shared" si="1"/>
        <v>1</v>
      </c>
    </row>
    <row r="32" spans="2:8" ht="15.75" thickBot="1" x14ac:dyDescent="0.3">
      <c r="B32" s="249" t="str">
        <f>D_M01!B29</f>
        <v>Air Handler – in Conditioned Space</v>
      </c>
      <c r="C32" s="104"/>
      <c r="D32" s="106" t="str">
        <f t="shared" si="2"/>
        <v>Fail</v>
      </c>
      <c r="E32" s="6"/>
      <c r="H32" s="9">
        <f t="shared" si="1"/>
        <v>1</v>
      </c>
    </row>
    <row r="33" spans="1:8" thickBot="1" x14ac:dyDescent="0.35">
      <c r="B33" s="249" t="str">
        <f>D_M01!B30</f>
        <v>Mechanical Ventilation</v>
      </c>
      <c r="C33" s="104"/>
      <c r="D33" s="106" t="str">
        <f t="shared" si="2"/>
        <v>Fail</v>
      </c>
      <c r="E33" s="6"/>
      <c r="H33" s="9">
        <f t="shared" si="1"/>
        <v>1</v>
      </c>
    </row>
    <row r="34" spans="1:8" thickBot="1" x14ac:dyDescent="0.35">
      <c r="B34" s="249" t="str">
        <f>D_M01!B31</f>
        <v>Hot Water System - electric</v>
      </c>
      <c r="C34" s="104"/>
      <c r="D34" s="106" t="str">
        <f t="shared" si="2"/>
        <v>Fail</v>
      </c>
      <c r="E34" s="6"/>
      <c r="H34" s="9">
        <f t="shared" si="1"/>
        <v>1</v>
      </c>
    </row>
    <row r="35" spans="1:8" thickBot="1" x14ac:dyDescent="0.35">
      <c r="B35" s="249" t="str">
        <f>D_M01!B32</f>
        <v>All Hot Water Lines</v>
      </c>
      <c r="C35" s="104"/>
      <c r="D35" s="106" t="str">
        <f t="shared" si="2"/>
        <v>Fail</v>
      </c>
      <c r="E35" s="6"/>
      <c r="H35" s="9">
        <f t="shared" si="1"/>
        <v>1</v>
      </c>
    </row>
    <row r="36" spans="1:8" thickBot="1" x14ac:dyDescent="0.35">
      <c r="B36" s="249" t="str">
        <f>D_M01!B33</f>
        <v>Hot Water Circulation -none</v>
      </c>
      <c r="C36" s="104"/>
      <c r="D36" s="106" t="str">
        <f t="shared" si="2"/>
        <v>Fail</v>
      </c>
      <c r="E36" s="6"/>
      <c r="H36" s="9">
        <f t="shared" si="1"/>
        <v>1</v>
      </c>
    </row>
    <row r="37" spans="1:8" thickBot="1" x14ac:dyDescent="0.35">
      <c r="B37" s="249" t="str">
        <f>D_M01!B34</f>
        <v>Lighting</v>
      </c>
      <c r="C37" s="104"/>
      <c r="D37" s="106" t="str">
        <f t="shared" si="2"/>
        <v>Fail</v>
      </c>
      <c r="E37" s="6"/>
      <c r="H37" s="9">
        <f t="shared" si="1"/>
        <v>1</v>
      </c>
    </row>
    <row r="38" spans="1:8" thickBot="1" x14ac:dyDescent="0.35">
      <c r="B38" s="249" t="str">
        <f>D_M01!B35</f>
        <v>Pool and Spa - none</v>
      </c>
      <c r="C38" s="104"/>
      <c r="D38" s="106" t="str">
        <f t="shared" si="2"/>
        <v>Fail</v>
      </c>
      <c r="E38" s="6"/>
      <c r="H38" s="9">
        <f t="shared" si="1"/>
        <v>1</v>
      </c>
    </row>
    <row r="39" spans="1:8" thickBot="1" x14ac:dyDescent="0.35">
      <c r="B39" s="250" t="str">
        <f>D_M01!B38</f>
        <v>Area Weighted Fenestration U-Factor Value</v>
      </c>
      <c r="C39" s="105"/>
      <c r="D39" s="106" t="str">
        <f>IF(C39&gt;UA_M01!M27,IF(C39&lt;=UA_M01!M28,"Pass","Fail"),"Fail")</f>
        <v>Fail</v>
      </c>
      <c r="E39" s="7"/>
      <c r="H39" s="9">
        <f t="shared" si="1"/>
        <v>1</v>
      </c>
    </row>
    <row r="40" spans="1:8" thickBot="1" x14ac:dyDescent="0.35">
      <c r="B40" s="250" t="str">
        <f>D_M01!B39</f>
        <v>Area Weighted Fenestration SHGC Value</v>
      </c>
      <c r="C40" s="104"/>
      <c r="D40" s="106" t="str">
        <f>IF(C40&gt;UA_M01!Q27,IF(C40&lt;=UA_M01!Q28,"Pass","Fail"),"Fail")</f>
        <v>Fail</v>
      </c>
      <c r="E40" s="7"/>
      <c r="H40" s="9">
        <f t="shared" si="1"/>
        <v>1</v>
      </c>
    </row>
    <row r="41" spans="1:8" thickBot="1" x14ac:dyDescent="0.35">
      <c r="B41" s="250" t="str">
        <f>D_M01!B40</f>
        <v>Total Thermal Envelope UA Value</v>
      </c>
      <c r="C41" s="111" t="s">
        <v>63</v>
      </c>
      <c r="D41" s="106" t="str">
        <f>IF(C41="Complies","Not applicable",IF(C41="Not applicable","Not applicable","Fail"))</f>
        <v>Not applicable</v>
      </c>
      <c r="E41" s="7"/>
      <c r="H41" s="9">
        <f t="shared" si="1"/>
        <v>0</v>
      </c>
    </row>
    <row r="42" spans="1:8" thickBot="1" x14ac:dyDescent="0.35">
      <c r="B42" s="250" t="str">
        <f>D_M01!B41</f>
        <v>Area Weighted Fenestration U-Factor Result</v>
      </c>
      <c r="C42" s="104"/>
      <c r="D42" s="106" t="str">
        <f>IF(C42="Complies","Pass","Fail")</f>
        <v>Fail</v>
      </c>
      <c r="E42" s="6"/>
      <c r="H42" s="9">
        <f t="shared" si="1"/>
        <v>1</v>
      </c>
    </row>
    <row r="43" spans="1:8" thickBot="1" x14ac:dyDescent="0.35">
      <c r="B43" s="250" t="str">
        <f>D_M01!B42</f>
        <v>Area Weighted Fenestration SHGC Result</v>
      </c>
      <c r="C43" s="104"/>
      <c r="D43" s="106" t="str">
        <f>IF(C43="Complies","Pass","Fail")</f>
        <v>Fail</v>
      </c>
      <c r="E43" s="6"/>
      <c r="H43" s="9">
        <f t="shared" si="1"/>
        <v>1</v>
      </c>
    </row>
    <row r="44" spans="1:8" thickBot="1" x14ac:dyDescent="0.35">
      <c r="B44" s="250" t="str">
        <f>D_M01!B43</f>
        <v>Baseline Thermal Envelope UA Value</v>
      </c>
      <c r="C44" s="112" t="s">
        <v>63</v>
      </c>
      <c r="D44" s="106" t="str">
        <f>IF(C44="Complies","Not applicable",IF(C44="Not applicable","Not applicable","Fail"))</f>
        <v>Not applicable</v>
      </c>
      <c r="E44" s="6"/>
      <c r="H44" s="9">
        <f t="shared" si="1"/>
        <v>0</v>
      </c>
    </row>
    <row r="45" spans="1:8" thickBot="1" x14ac:dyDescent="0.35">
      <c r="B45" s="250" t="str">
        <f>D_M01!B44</f>
        <v>Total Thermal Envelope UA Result</v>
      </c>
      <c r="C45" s="112" t="s">
        <v>63</v>
      </c>
      <c r="D45" s="106" t="str">
        <f>IF(C45="Complies","Not applicable",IF(C45="Not applicable","Not applicable","Fail"))</f>
        <v>Not applicable</v>
      </c>
      <c r="H45" s="9">
        <f t="shared" si="1"/>
        <v>0</v>
      </c>
    </row>
    <row r="46" spans="1:8" thickBot="1" x14ac:dyDescent="0.35">
      <c r="B46" s="250" t="str">
        <f>D_M01!B45</f>
        <v>House Complies?</v>
      </c>
      <c r="C46" s="104"/>
      <c r="D46" s="106" t="str">
        <f>IF(C46="Yes","Pass","Fail")</f>
        <v>Fail</v>
      </c>
      <c r="H46" s="9">
        <f t="shared" si="1"/>
        <v>1</v>
      </c>
    </row>
    <row r="47" spans="1:8" ht="21.6" customHeight="1" x14ac:dyDescent="0.5">
      <c r="B47" s="19"/>
      <c r="C47" s="15" t="s">
        <v>94</v>
      </c>
      <c r="D47" s="16" t="str">
        <f>IF(H47&gt;0,"FAIL","PASS")</f>
        <v>FAIL</v>
      </c>
      <c r="H47">
        <f xml:space="preserve"> SUM(H11:H46)</f>
        <v>28</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3"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D_M01!B4</f>
        <v>House Pr-M01</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D_M01!B8</f>
        <v>Slab-on-grade Floor</v>
      </c>
      <c r="C58" s="107"/>
      <c r="D58" s="107"/>
      <c r="E58" s="104"/>
      <c r="F58" s="106" t="str">
        <f>IF(E58="Complies","Pass","Fail")</f>
        <v>Fail</v>
      </c>
      <c r="H58" s="9">
        <f>IF(OR(F58="Not applicable",F58="Software Doesn't Check",F58="Pass"),0,1)</f>
        <v>1</v>
      </c>
    </row>
    <row r="59" spans="1:8" ht="15" customHeight="1" thickBot="1" x14ac:dyDescent="0.35">
      <c r="B59" s="249" t="str">
        <f>D_M01!B9</f>
        <v>Roof – gable type- 5 in 12 slope No overhangs</v>
      </c>
      <c r="C59" s="107"/>
      <c r="D59" s="107"/>
      <c r="E59" s="104"/>
      <c r="F59" s="106" t="str">
        <f>IF(E59="Complies","Pass","Fail")</f>
        <v>Fail</v>
      </c>
      <c r="H59" s="9">
        <f t="shared" ref="H59:H93" si="3">IF(OR(F59="Not applicable",F59="Software Doesn't Check",F59="Pass"),0,1)</f>
        <v>1</v>
      </c>
    </row>
    <row r="60" spans="1:8" ht="15" customHeight="1" thickBot="1" x14ac:dyDescent="0.35">
      <c r="B60" s="249" t="str">
        <f>D_M01!B10</f>
        <v>Ceiling1 –flat under attic</v>
      </c>
      <c r="C60" s="104"/>
      <c r="D60" s="104"/>
      <c r="E60" s="104"/>
      <c r="F60" s="106" t="str">
        <f>IF(E60="Complies","Pass","Fail")</f>
        <v>Fail</v>
      </c>
      <c r="H60" s="9">
        <f t="shared" si="3"/>
        <v>1</v>
      </c>
    </row>
    <row r="61" spans="1:8" ht="15" customHeight="1" thickBot="1" x14ac:dyDescent="0.35">
      <c r="B61" s="249" t="str">
        <f>D_M01!B11</f>
        <v xml:space="preserve">        Skylight</v>
      </c>
      <c r="C61" s="107"/>
      <c r="D61" s="218">
        <f>D_M01!E11</f>
        <v>0.75</v>
      </c>
      <c r="E61" s="104"/>
      <c r="F61" s="106" t="str">
        <f>IF(E61="Complies","Pass","Fail")</f>
        <v>Fail</v>
      </c>
      <c r="H61" s="9">
        <f t="shared" si="3"/>
        <v>1</v>
      </c>
    </row>
    <row r="62" spans="1:8" ht="15" customHeight="1" thickBot="1" x14ac:dyDescent="0.35">
      <c r="B62" s="249" t="str">
        <f>D_M01!B12</f>
        <v>Wall 1 –faces North, CBS2</v>
      </c>
      <c r="C62" s="104"/>
      <c r="D62" s="104"/>
      <c r="E62" s="104"/>
      <c r="F62" s="106" t="str">
        <f>IF(E62="Complies","Pass","Fail")</f>
        <v>Fail</v>
      </c>
      <c r="H62" s="9">
        <f t="shared" si="3"/>
        <v>1</v>
      </c>
    </row>
    <row r="63" spans="1:8" ht="15" customHeight="1" thickBot="1" x14ac:dyDescent="0.35">
      <c r="B63" s="249" t="str">
        <f>D_M01!B13</f>
        <v xml:space="preserve">        Door 1 - </v>
      </c>
      <c r="C63" s="107"/>
      <c r="D63" s="218">
        <f>D_M01!E13</f>
        <v>0.65</v>
      </c>
      <c r="E63" s="111" t="s">
        <v>63</v>
      </c>
      <c r="F63" s="106" t="s">
        <v>63</v>
      </c>
      <c r="H63" s="9">
        <f t="shared" si="3"/>
        <v>0</v>
      </c>
    </row>
    <row r="64" spans="1:8" ht="15" customHeight="1" thickBot="1" x14ac:dyDescent="0.35">
      <c r="B64" s="249" t="str">
        <f>D_M01!B14</f>
        <v xml:space="preserve">        Window 1 – Vinyl Frame Low-e Double</v>
      </c>
      <c r="C64" s="107"/>
      <c r="D64" s="218">
        <f>D_M01!E14</f>
        <v>0.65</v>
      </c>
      <c r="E64" s="111" t="s">
        <v>63</v>
      </c>
      <c r="F64" s="106" t="s">
        <v>63</v>
      </c>
      <c r="H64" s="9">
        <f t="shared" si="3"/>
        <v>0</v>
      </c>
    </row>
    <row r="65" spans="2:8" ht="15" customHeight="1" thickBot="1" x14ac:dyDescent="0.35">
      <c r="B65" s="249" t="str">
        <f>D_M01!B15</f>
        <v>Wall 2 –faces East, CBS</v>
      </c>
      <c r="C65" s="104"/>
      <c r="D65" s="104"/>
      <c r="E65" s="104"/>
      <c r="F65" s="106" t="str">
        <f>IF(E65="Complies","Pass","Fail")</f>
        <v>Fail</v>
      </c>
      <c r="H65" s="9">
        <f t="shared" si="3"/>
        <v>1</v>
      </c>
    </row>
    <row r="66" spans="2:8" ht="15" customHeight="1" thickBot="1" x14ac:dyDescent="0.35">
      <c r="B66" s="249" t="str">
        <f>D_M01!B16</f>
        <v xml:space="preserve">        Window 2 – Vinyl Frame Low-e Double</v>
      </c>
      <c r="C66" s="107"/>
      <c r="D66" s="218">
        <f>D_M01!E16</f>
        <v>0.65</v>
      </c>
      <c r="E66" s="111" t="s">
        <v>63</v>
      </c>
      <c r="F66" s="106" t="s">
        <v>63</v>
      </c>
      <c r="H66" s="9">
        <f t="shared" si="3"/>
        <v>0</v>
      </c>
    </row>
    <row r="67" spans="2:8" ht="15" customHeight="1" thickBot="1" x14ac:dyDescent="0.35">
      <c r="B67" s="249" t="str">
        <f>D_M01!B17</f>
        <v>Wall 3 –faces South, CBS</v>
      </c>
      <c r="C67" s="104"/>
      <c r="D67" s="104"/>
      <c r="E67" s="104"/>
      <c r="F67" s="106" t="str">
        <f>IF(E67="Complies","Pass","Fail")</f>
        <v>Fail</v>
      </c>
      <c r="H67" s="9">
        <f t="shared" si="3"/>
        <v>1</v>
      </c>
    </row>
    <row r="68" spans="2:8" ht="15" customHeight="1" thickBot="1" x14ac:dyDescent="0.35">
      <c r="B68" s="249" t="str">
        <f>D_M01!B18</f>
        <v xml:space="preserve">        Window 3 – Vinyl Frame Low-e Double</v>
      </c>
      <c r="C68" s="107"/>
      <c r="D68" s="218">
        <f>D_M01!E18</f>
        <v>0.65</v>
      </c>
      <c r="E68" s="111" t="s">
        <v>63</v>
      </c>
      <c r="F68" s="106" t="s">
        <v>63</v>
      </c>
      <c r="H68" s="9">
        <f t="shared" si="3"/>
        <v>0</v>
      </c>
    </row>
    <row r="69" spans="2:8" ht="15" customHeight="1" thickBot="1" x14ac:dyDescent="0.35">
      <c r="B69" s="249" t="str">
        <f>D_M01!B19</f>
        <v>Wall 4 –faces South, Wood3 2x4 Stud</v>
      </c>
      <c r="C69" s="104"/>
      <c r="D69" s="104"/>
      <c r="E69" s="104"/>
      <c r="F69" s="106" t="str">
        <f>IF(E69="U-Factor too high","Pass","Fail")</f>
        <v>Fail</v>
      </c>
      <c r="H69" s="9">
        <f t="shared" si="3"/>
        <v>1</v>
      </c>
    </row>
    <row r="70" spans="2:8" ht="15" customHeight="1" thickBot="1" x14ac:dyDescent="0.35">
      <c r="B70" s="249" t="str">
        <f>D_M01!B20</f>
        <v xml:space="preserve">        Window 4 – Vinyl Frame  Low-e Double</v>
      </c>
      <c r="C70" s="107"/>
      <c r="D70" s="218">
        <f>D_M01!E20</f>
        <v>0.65</v>
      </c>
      <c r="E70" s="111" t="s">
        <v>63</v>
      </c>
      <c r="F70" s="106" t="s">
        <v>63</v>
      </c>
      <c r="H70" s="9">
        <f t="shared" si="3"/>
        <v>0</v>
      </c>
    </row>
    <row r="71" spans="2:8" ht="15" customHeight="1" thickBot="1" x14ac:dyDescent="0.35">
      <c r="B71" s="249" t="str">
        <f>D_M01!B21</f>
        <v>Wall 5 –faces West, CBS</v>
      </c>
      <c r="C71" s="104"/>
      <c r="D71" s="104"/>
      <c r="E71" s="104"/>
      <c r="F71" s="106" t="str">
        <f>IF(E71="Complies","Pass","Fail")</f>
        <v>Fail</v>
      </c>
      <c r="H71" s="9">
        <f t="shared" si="3"/>
        <v>1</v>
      </c>
    </row>
    <row r="72" spans="2:8" ht="15" customHeight="1" thickBot="1" x14ac:dyDescent="0.35">
      <c r="B72" s="249" t="str">
        <f>D_M01!B22</f>
        <v xml:space="preserve">        Window 5 – Vinyl Frame Low-e Double</v>
      </c>
      <c r="C72" s="107"/>
      <c r="D72" s="218">
        <f>D_M01!E22</f>
        <v>0.65</v>
      </c>
      <c r="E72" s="111" t="s">
        <v>63</v>
      </c>
      <c r="F72" s="106" t="s">
        <v>63</v>
      </c>
      <c r="H72" s="9">
        <f t="shared" si="3"/>
        <v>0</v>
      </c>
    </row>
    <row r="73" spans="2:8" ht="15" customHeight="1" thickBot="1" x14ac:dyDescent="0.35">
      <c r="B73" s="249" t="str">
        <f>D_M01!B23</f>
        <v>Infiltration</v>
      </c>
      <c r="C73" s="107"/>
      <c r="D73" s="107"/>
      <c r="E73" s="113"/>
      <c r="F73" s="106" t="str">
        <f>IF(E73="Complies","Pass",IF(E73="Not part of software","Software Doesn't Check","Fail"))</f>
        <v>Fail</v>
      </c>
      <c r="H73" s="9">
        <f t="shared" si="3"/>
        <v>1</v>
      </c>
    </row>
    <row r="74" spans="2:8" ht="15" customHeight="1" thickBot="1" x14ac:dyDescent="0.35">
      <c r="B74" s="249" t="str">
        <f>D_M01!B24</f>
        <v>Heating – heat pump</v>
      </c>
      <c r="C74" s="107"/>
      <c r="D74" s="107"/>
      <c r="E74" s="114"/>
      <c r="F74" s="106" t="str">
        <f>IF(E74="Complies","Pass",IF(E74="Not part of software","Software Doesn't Check","Fail"))</f>
        <v>Fail</v>
      </c>
      <c r="H74" s="9">
        <f t="shared" si="3"/>
        <v>1</v>
      </c>
    </row>
    <row r="75" spans="2:8" ht="15" customHeight="1" thickBot="1" x14ac:dyDescent="0.35">
      <c r="B75" s="249" t="str">
        <f>D_M01!B25</f>
        <v>Cooling – heat pump</v>
      </c>
      <c r="C75" s="107"/>
      <c r="D75" s="107"/>
      <c r="E75" s="113"/>
      <c r="F75" s="106" t="str">
        <f>IF(E75="Complies","Pass",IF(E75="Not part of software","Software Doesn't Check","Fail"))</f>
        <v>Fail</v>
      </c>
      <c r="H75" s="9">
        <f t="shared" si="3"/>
        <v>1</v>
      </c>
    </row>
    <row r="76" spans="2:8" ht="15" customHeight="1" thickBot="1" x14ac:dyDescent="0.35">
      <c r="B76" s="249" t="str">
        <f>D_M01!B26</f>
        <v>Ducts – supply in attic</v>
      </c>
      <c r="C76" s="107"/>
      <c r="D76" s="107"/>
      <c r="E76" s="113"/>
      <c r="F76" s="106" t="str">
        <f>IF(E76="Complies","Pass",IF(E76="Not part of software","Software Doesn't Check","Fail"))</f>
        <v>Fail</v>
      </c>
      <c r="H76" s="9">
        <f t="shared" si="3"/>
        <v>1</v>
      </c>
    </row>
    <row r="77" spans="2:8" ht="15" customHeight="1" thickBot="1" x14ac:dyDescent="0.35">
      <c r="B77" s="249" t="str">
        <f>D_M01!B27</f>
        <v>Ducts – Return in Conditioned Space</v>
      </c>
      <c r="C77" s="107"/>
      <c r="D77" s="107"/>
      <c r="E77" s="113"/>
      <c r="F77" s="106" t="str">
        <f t="shared" ref="F77:F85" si="4">IF(E77="Complies","Pass",IF(E77="Not part of software","Software Doesn't Check","Fail"))</f>
        <v>Fail</v>
      </c>
      <c r="H77" s="9">
        <f t="shared" si="3"/>
        <v>1</v>
      </c>
    </row>
    <row r="78" spans="2:8" ht="15" customHeight="1" thickBot="1" x14ac:dyDescent="0.35">
      <c r="B78" s="249" t="str">
        <f>D_M01!B28</f>
        <v>Duct Tightness</v>
      </c>
      <c r="C78" s="107"/>
      <c r="D78" s="107"/>
      <c r="E78" s="113"/>
      <c r="F78" s="106" t="str">
        <f t="shared" si="4"/>
        <v>Fail</v>
      </c>
      <c r="H78" s="9">
        <f t="shared" si="3"/>
        <v>1</v>
      </c>
    </row>
    <row r="79" spans="2:8" ht="15" customHeight="1" thickBot="1" x14ac:dyDescent="0.35">
      <c r="B79" s="249" t="str">
        <f>D_M01!B29</f>
        <v>Air Handler – in Conditioned Space</v>
      </c>
      <c r="C79" s="107"/>
      <c r="D79" s="107"/>
      <c r="E79" s="113"/>
      <c r="F79" s="106" t="str">
        <f t="shared" si="4"/>
        <v>Fail</v>
      </c>
      <c r="H79" s="9">
        <f t="shared" si="3"/>
        <v>1</v>
      </c>
    </row>
    <row r="80" spans="2:8" ht="15" customHeight="1" thickBot="1" x14ac:dyDescent="0.35">
      <c r="B80" s="249" t="str">
        <f>D_M01!B30</f>
        <v>Mechanical Ventilation</v>
      </c>
      <c r="C80" s="107"/>
      <c r="D80" s="107"/>
      <c r="E80" s="104"/>
      <c r="F80" s="106" t="str">
        <f t="shared" si="4"/>
        <v>Fail</v>
      </c>
      <c r="H80" s="9">
        <f t="shared" si="3"/>
        <v>1</v>
      </c>
    </row>
    <row r="81" spans="1:8" ht="15" customHeight="1" thickBot="1" x14ac:dyDescent="0.35">
      <c r="B81" s="249" t="str">
        <f>D_M01!B31</f>
        <v>Hot Water System - electric</v>
      </c>
      <c r="C81" s="107"/>
      <c r="D81" s="107"/>
      <c r="E81" s="113"/>
      <c r="F81" s="106" t="str">
        <f t="shared" si="4"/>
        <v>Fail</v>
      </c>
      <c r="H81" s="9">
        <f t="shared" si="3"/>
        <v>1</v>
      </c>
    </row>
    <row r="82" spans="1:8" ht="15" customHeight="1" thickBot="1" x14ac:dyDescent="0.35">
      <c r="B82" s="249" t="str">
        <f>D_M01!B32</f>
        <v>All Hot Water Lines</v>
      </c>
      <c r="C82" s="107"/>
      <c r="D82" s="107"/>
      <c r="E82" s="113"/>
      <c r="F82" s="106" t="str">
        <f t="shared" si="4"/>
        <v>Fail</v>
      </c>
      <c r="H82" s="9">
        <f t="shared" si="3"/>
        <v>1</v>
      </c>
    </row>
    <row r="83" spans="1:8" ht="15" customHeight="1" thickBot="1" x14ac:dyDescent="0.35">
      <c r="B83" s="249" t="str">
        <f>D_M01!B33</f>
        <v>Hot Water Circulation -none</v>
      </c>
      <c r="C83" s="107"/>
      <c r="D83" s="107"/>
      <c r="E83" s="113"/>
      <c r="F83" s="106" t="str">
        <f t="shared" si="4"/>
        <v>Fail</v>
      </c>
      <c r="H83" s="9">
        <f t="shared" si="3"/>
        <v>1</v>
      </c>
    </row>
    <row r="84" spans="1:8" ht="15" customHeight="1" thickBot="1" x14ac:dyDescent="0.35">
      <c r="B84" s="249" t="str">
        <f>D_M01!B34</f>
        <v>Lighting</v>
      </c>
      <c r="C84" s="107"/>
      <c r="D84" s="107"/>
      <c r="E84" s="113"/>
      <c r="F84" s="106" t="str">
        <f t="shared" si="4"/>
        <v>Fail</v>
      </c>
      <c r="H84" s="9">
        <f t="shared" si="3"/>
        <v>1</v>
      </c>
    </row>
    <row r="85" spans="1:8" ht="15" customHeight="1" thickBot="1" x14ac:dyDescent="0.35">
      <c r="B85" s="249" t="str">
        <f>D_M01!B35</f>
        <v>Pool and Spa - none</v>
      </c>
      <c r="C85" s="107"/>
      <c r="D85" s="107"/>
      <c r="E85" s="113"/>
      <c r="F85" s="106" t="str">
        <f t="shared" si="4"/>
        <v>Fail</v>
      </c>
      <c r="H85" s="9">
        <f t="shared" si="3"/>
        <v>1</v>
      </c>
    </row>
    <row r="86" spans="1:8" ht="15" customHeight="1" thickBot="1" x14ac:dyDescent="0.35">
      <c r="B86" s="250" t="str">
        <f>D_M01!B38</f>
        <v>Area Weighted Fenestration U-Factor Value</v>
      </c>
      <c r="C86" s="107"/>
      <c r="D86" s="107"/>
      <c r="E86" s="105"/>
      <c r="F86" s="106" t="str">
        <f>IF(E86&gt;UA_M01!O27,IF(E86&lt;=UA_M01!O28,"Pass","Fail"),"Fail")</f>
        <v>Fail</v>
      </c>
      <c r="H86" s="9">
        <f t="shared" si="3"/>
        <v>1</v>
      </c>
    </row>
    <row r="87" spans="1:8" ht="15" customHeight="1" thickBot="1" x14ac:dyDescent="0.35">
      <c r="B87" s="250" t="str">
        <f>D_M01!B39</f>
        <v>Area Weighted Fenestration SHGC Value</v>
      </c>
      <c r="C87" s="107"/>
      <c r="D87" s="107"/>
      <c r="E87" s="104"/>
      <c r="F87" s="106" t="str">
        <f>IF(E87&gt;UA_M01!S27,IF(E87&lt;=UA_M01!S28,"Pass","Fail"),"Fail")</f>
        <v>Fail</v>
      </c>
      <c r="H87" s="9">
        <f t="shared" si="3"/>
        <v>1</v>
      </c>
    </row>
    <row r="88" spans="1:8" ht="15" customHeight="1" thickBot="1" x14ac:dyDescent="0.35">
      <c r="B88" s="250" t="str">
        <f>D_M01!B40</f>
        <v>Total Thermal Envelope UA Value</v>
      </c>
      <c r="C88" s="107"/>
      <c r="D88" s="107"/>
      <c r="E88" s="111" t="s">
        <v>63</v>
      </c>
      <c r="F88" s="106" t="s">
        <v>63</v>
      </c>
      <c r="H88" s="9">
        <f t="shared" si="3"/>
        <v>0</v>
      </c>
    </row>
    <row r="89" spans="1:8" ht="15" customHeight="1" thickBot="1" x14ac:dyDescent="0.35">
      <c r="B89" s="250" t="str">
        <f>D_M01!B41</f>
        <v>Area Weighted Fenestration U-Factor Result</v>
      </c>
      <c r="C89" s="107"/>
      <c r="D89" s="111"/>
      <c r="E89" s="104"/>
      <c r="F89" s="106" t="str">
        <f>IF(E89="Average U too high","Pass","Fail")</f>
        <v>Fail</v>
      </c>
      <c r="H89" s="9">
        <f t="shared" si="3"/>
        <v>1</v>
      </c>
    </row>
    <row r="90" spans="1:8" ht="15" customHeight="1" thickBot="1" x14ac:dyDescent="0.35">
      <c r="B90" s="250" t="str">
        <f>D_M01!B42</f>
        <v>Area Weighted Fenestration SHGC Result</v>
      </c>
      <c r="C90" s="107"/>
      <c r="D90" s="111"/>
      <c r="E90" s="104"/>
      <c r="F90" s="106" t="str">
        <f>IF(E90="Complies","Pass","Fail")</f>
        <v>Fail</v>
      </c>
      <c r="H90" s="9">
        <f t="shared" si="3"/>
        <v>1</v>
      </c>
    </row>
    <row r="91" spans="1:8" ht="15" customHeight="1" thickBot="1" x14ac:dyDescent="0.35">
      <c r="B91" s="250" t="str">
        <f>D_M01!B43</f>
        <v>Baseline Thermal Envelope UA Value</v>
      </c>
      <c r="C91" s="107"/>
      <c r="D91" s="111"/>
      <c r="E91" s="111" t="s">
        <v>63</v>
      </c>
      <c r="F91" s="106" t="s">
        <v>63</v>
      </c>
      <c r="H91" s="9">
        <f t="shared" si="3"/>
        <v>0</v>
      </c>
    </row>
    <row r="92" spans="1:8" ht="15" customHeight="1" thickBot="1" x14ac:dyDescent="0.35">
      <c r="B92" s="250" t="str">
        <f>D_M01!B44</f>
        <v>Total Thermal Envelope UA Result</v>
      </c>
      <c r="C92" s="107"/>
      <c r="D92" s="111"/>
      <c r="E92" s="111" t="s">
        <v>63</v>
      </c>
      <c r="F92" s="106" t="s">
        <v>63</v>
      </c>
      <c r="H92" s="9">
        <f t="shared" si="3"/>
        <v>0</v>
      </c>
    </row>
    <row r="93" spans="1:8" ht="15" customHeight="1" thickBot="1" x14ac:dyDescent="0.35">
      <c r="B93" s="250" t="str">
        <f>D_M01!B45</f>
        <v>House Complies?</v>
      </c>
      <c r="C93" s="107"/>
      <c r="D93" s="111"/>
      <c r="E93" s="104"/>
      <c r="F93" s="106" t="str">
        <f>IF(E93="No","Pass","Fail")</f>
        <v>Fail</v>
      </c>
      <c r="H93" s="9">
        <f t="shared" si="3"/>
        <v>1</v>
      </c>
    </row>
    <row r="94" spans="1:8" ht="21" customHeight="1" x14ac:dyDescent="0.5">
      <c r="B94" s="19"/>
      <c r="E94" s="24" t="s">
        <v>85</v>
      </c>
      <c r="F94" s="16" t="str">
        <f>IF(H94&gt;0,"FAIL","PASS")</f>
        <v>FAIL</v>
      </c>
      <c r="H94">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103"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D_M01!B4</f>
        <v>House Pr-M01</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D_M01!B8</f>
        <v>Slab-on-grade Floor</v>
      </c>
      <c r="C105" s="107"/>
      <c r="D105" s="107"/>
      <c r="E105" s="111" t="s">
        <v>63</v>
      </c>
      <c r="F105" s="106" t="s">
        <v>63</v>
      </c>
      <c r="H105" s="9">
        <f t="shared" ref="H105:H140" si="5">IF(OR(F105="Not applicable",F105="Software Doesn't Check",F105="Pass"),0,1)</f>
        <v>0</v>
      </c>
    </row>
    <row r="106" spans="1:8" ht="15.75" thickBot="1" x14ac:dyDescent="0.3">
      <c r="B106" s="249" t="str">
        <f>D_M01!B9</f>
        <v>Roof – gable type- 5 in 12 slope No overhangs</v>
      </c>
      <c r="C106" s="107"/>
      <c r="D106" s="107"/>
      <c r="E106" s="111" t="s">
        <v>63</v>
      </c>
      <c r="F106" s="106" t="s">
        <v>63</v>
      </c>
      <c r="H106" s="9">
        <f t="shared" si="5"/>
        <v>0</v>
      </c>
    </row>
    <row r="107" spans="1:8" ht="15.75" thickBot="1" x14ac:dyDescent="0.3">
      <c r="B107" s="249" t="str">
        <f>D_M01!B10</f>
        <v>Ceiling1 –flat under attic</v>
      </c>
      <c r="C107" s="104"/>
      <c r="D107" s="104"/>
      <c r="E107" s="111" t="s">
        <v>63</v>
      </c>
      <c r="F107" s="106" t="s">
        <v>63</v>
      </c>
      <c r="H107" s="9">
        <f t="shared" si="5"/>
        <v>0</v>
      </c>
    </row>
    <row r="108" spans="1:8" thickBot="1" x14ac:dyDescent="0.35">
      <c r="B108" s="249" t="str">
        <f>D_M01!B11</f>
        <v xml:space="preserve">        Skylight</v>
      </c>
      <c r="C108" s="111"/>
      <c r="D108" s="219">
        <f>D_M01!E11</f>
        <v>0.75</v>
      </c>
      <c r="E108" s="104"/>
      <c r="F108" s="106" t="str">
        <f>IF(E108="Complies","Pass","Fail")</f>
        <v>Fail</v>
      </c>
      <c r="H108" s="9">
        <f t="shared" si="5"/>
        <v>1</v>
      </c>
    </row>
    <row r="109" spans="1:8" ht="15.75" thickBot="1" x14ac:dyDescent="0.3">
      <c r="B109" s="249" t="str">
        <f>D_M01!B12</f>
        <v>Wall 1 –faces North, CBS2</v>
      </c>
      <c r="C109" s="104"/>
      <c r="D109" s="104"/>
      <c r="E109" s="111" t="s">
        <v>63</v>
      </c>
      <c r="F109" s="106" t="s">
        <v>63</v>
      </c>
      <c r="H109" s="9">
        <f t="shared" si="5"/>
        <v>0</v>
      </c>
    </row>
    <row r="110" spans="1:8" thickBot="1" x14ac:dyDescent="0.35">
      <c r="B110" s="249" t="str">
        <f>D_M01!B13</f>
        <v xml:space="preserve">        Door 1 - </v>
      </c>
      <c r="C110" s="111"/>
      <c r="D110" s="219">
        <f>D_M01!E13</f>
        <v>0.65</v>
      </c>
      <c r="E110" s="111" t="s">
        <v>63</v>
      </c>
      <c r="F110" s="106" t="s">
        <v>63</v>
      </c>
      <c r="H110" s="9">
        <f t="shared" si="5"/>
        <v>0</v>
      </c>
    </row>
    <row r="111" spans="1:8" ht="15.75" thickBot="1" x14ac:dyDescent="0.3">
      <c r="B111" s="249" t="str">
        <f>D_M01!B14</f>
        <v xml:space="preserve">        Window 1 – Vinyl Frame Low-e Double</v>
      </c>
      <c r="C111" s="111"/>
      <c r="D111" s="219">
        <f>D_M01!E14</f>
        <v>0.65</v>
      </c>
      <c r="E111" s="111" t="s">
        <v>63</v>
      </c>
      <c r="F111" s="106" t="s">
        <v>63</v>
      </c>
      <c r="H111" s="9">
        <f t="shared" si="5"/>
        <v>0</v>
      </c>
    </row>
    <row r="112" spans="1:8" ht="15.75" thickBot="1" x14ac:dyDescent="0.3">
      <c r="B112" s="249" t="str">
        <f>D_M01!B15</f>
        <v>Wall 2 –faces East, CBS</v>
      </c>
      <c r="C112" s="104"/>
      <c r="D112" s="104"/>
      <c r="E112" s="111" t="s">
        <v>63</v>
      </c>
      <c r="F112" s="106" t="s">
        <v>63</v>
      </c>
      <c r="H112" s="9">
        <f t="shared" si="5"/>
        <v>0</v>
      </c>
    </row>
    <row r="113" spans="2:8" ht="15.75" thickBot="1" x14ac:dyDescent="0.3">
      <c r="B113" s="249" t="str">
        <f>D_M01!B16</f>
        <v xml:space="preserve">        Window 2 – Vinyl Frame Low-e Double</v>
      </c>
      <c r="C113" s="111"/>
      <c r="D113" s="219">
        <f>D_M01!E16</f>
        <v>0.65</v>
      </c>
      <c r="E113" s="111" t="s">
        <v>63</v>
      </c>
      <c r="F113" s="106" t="s">
        <v>63</v>
      </c>
      <c r="H113" s="9">
        <f t="shared" si="5"/>
        <v>0</v>
      </c>
    </row>
    <row r="114" spans="2:8" ht="15.75" thickBot="1" x14ac:dyDescent="0.3">
      <c r="B114" s="249" t="str">
        <f>D_M01!B17</f>
        <v>Wall 3 –faces South, CBS</v>
      </c>
      <c r="C114" s="104"/>
      <c r="D114" s="104"/>
      <c r="E114" s="111" t="s">
        <v>63</v>
      </c>
      <c r="F114" s="106" t="s">
        <v>63</v>
      </c>
      <c r="H114" s="9">
        <f t="shared" si="5"/>
        <v>0</v>
      </c>
    </row>
    <row r="115" spans="2:8" ht="15.75" thickBot="1" x14ac:dyDescent="0.3">
      <c r="B115" s="249" t="str">
        <f>D_M01!B18</f>
        <v xml:space="preserve">        Window 3 – Vinyl Frame Low-e Double</v>
      </c>
      <c r="C115" s="111"/>
      <c r="D115" s="219">
        <f>D_M01!E18</f>
        <v>0.65</v>
      </c>
      <c r="E115" s="111" t="s">
        <v>63</v>
      </c>
      <c r="F115" s="106" t="s">
        <v>63</v>
      </c>
      <c r="H115" s="9">
        <f t="shared" si="5"/>
        <v>0</v>
      </c>
    </row>
    <row r="116" spans="2:8" ht="15.75" thickBot="1" x14ac:dyDescent="0.3">
      <c r="B116" s="249" t="str">
        <f>D_M01!B19</f>
        <v>Wall 4 –faces South, Wood3 2x4 Stud</v>
      </c>
      <c r="C116" s="104"/>
      <c r="D116" s="104"/>
      <c r="E116" s="111" t="s">
        <v>63</v>
      </c>
      <c r="F116" s="106" t="s">
        <v>63</v>
      </c>
      <c r="H116" s="9">
        <f t="shared" si="5"/>
        <v>0</v>
      </c>
    </row>
    <row r="117" spans="2:8" ht="15.75" thickBot="1" x14ac:dyDescent="0.3">
      <c r="B117" s="249" t="str">
        <f>D_M01!B20</f>
        <v xml:space="preserve">        Window 4 – Vinyl Frame  Low-e Double</v>
      </c>
      <c r="C117" s="111"/>
      <c r="D117" s="219">
        <f>D_M01!E20</f>
        <v>0.65</v>
      </c>
      <c r="E117" s="111" t="s">
        <v>63</v>
      </c>
      <c r="F117" s="106" t="s">
        <v>63</v>
      </c>
      <c r="H117" s="9">
        <f t="shared" si="5"/>
        <v>0</v>
      </c>
    </row>
    <row r="118" spans="2:8" ht="15.75" thickBot="1" x14ac:dyDescent="0.3">
      <c r="B118" s="249" t="str">
        <f>D_M01!B21</f>
        <v>Wall 5 –faces West, CBS</v>
      </c>
      <c r="C118" s="104"/>
      <c r="D118" s="104"/>
      <c r="E118" s="111" t="s">
        <v>63</v>
      </c>
      <c r="F118" s="106" t="s">
        <v>63</v>
      </c>
      <c r="H118" s="9">
        <f t="shared" si="5"/>
        <v>0</v>
      </c>
    </row>
    <row r="119" spans="2:8" ht="15.75" thickBot="1" x14ac:dyDescent="0.3">
      <c r="B119" s="249" t="str">
        <f>D_M01!B22</f>
        <v xml:space="preserve">        Window 5 – Vinyl Frame Low-e Double</v>
      </c>
      <c r="C119" s="107"/>
      <c r="D119" s="218">
        <f>D_M01!E22</f>
        <v>0.65</v>
      </c>
      <c r="E119" s="111" t="s">
        <v>63</v>
      </c>
      <c r="F119" s="106" t="s">
        <v>63</v>
      </c>
      <c r="H119" s="9">
        <f t="shared" si="5"/>
        <v>0</v>
      </c>
    </row>
    <row r="120" spans="2:8" thickBot="1" x14ac:dyDescent="0.35">
      <c r="B120" s="249" t="str">
        <f>D_M01!B23</f>
        <v>Infiltration</v>
      </c>
      <c r="C120" s="107"/>
      <c r="D120" s="107"/>
      <c r="E120" s="113"/>
      <c r="F120" s="106" t="str">
        <f>IF(E120="Complies","Pass",IF(E120="Not part of software","Software Doesn't Check","Fail"))</f>
        <v>Fail</v>
      </c>
      <c r="H120" s="9">
        <f t="shared" si="5"/>
        <v>1</v>
      </c>
    </row>
    <row r="121" spans="2:8" ht="15.75" thickBot="1" x14ac:dyDescent="0.3">
      <c r="B121" s="249" t="str">
        <f>D_M01!B24</f>
        <v>Heating – heat pump</v>
      </c>
      <c r="C121" s="107"/>
      <c r="D121" s="107"/>
      <c r="E121" s="114"/>
      <c r="F121" s="106" t="str">
        <f>IF(E121="Complies","Pass",IF(E121="Not part of software","Software Doesn't Check","Fail"))</f>
        <v>Fail</v>
      </c>
      <c r="H121" s="9">
        <f t="shared" si="5"/>
        <v>1</v>
      </c>
    </row>
    <row r="122" spans="2:8" ht="15.75" thickBot="1" x14ac:dyDescent="0.3">
      <c r="B122" s="249" t="str">
        <f>D_M01!B25</f>
        <v>Cooling – heat pump</v>
      </c>
      <c r="C122" s="107"/>
      <c r="D122" s="107"/>
      <c r="E122" s="113"/>
      <c r="F122" s="106" t="str">
        <f>IF(E122="Complies","Pass",IF(E122="Not part of software","Software Doesn't Check","Fail"))</f>
        <v>Fail</v>
      </c>
      <c r="H122" s="9">
        <f t="shared" si="5"/>
        <v>1</v>
      </c>
    </row>
    <row r="123" spans="2:8" ht="15.75" thickBot="1" x14ac:dyDescent="0.3">
      <c r="B123" s="249" t="str">
        <f>D_M01!B26</f>
        <v>Ducts – supply in attic</v>
      </c>
      <c r="C123" s="107"/>
      <c r="D123" s="107"/>
      <c r="E123" s="113"/>
      <c r="F123" s="106" t="str">
        <f>IF(E123="Complies","Pass",IF(E123="Not part of software","Software Doesn't Check","Fail"))</f>
        <v>Fail</v>
      </c>
      <c r="H123" s="9">
        <f t="shared" si="5"/>
        <v>1</v>
      </c>
    </row>
    <row r="124" spans="2:8" ht="15.75" thickBot="1" x14ac:dyDescent="0.3">
      <c r="B124" s="249" t="str">
        <f>D_M01!B27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D_M01!B28</f>
        <v>Duct Tightness</v>
      </c>
      <c r="C125" s="107"/>
      <c r="D125" s="107"/>
      <c r="E125" s="113"/>
      <c r="F125" s="106" t="str">
        <f t="shared" si="6"/>
        <v>Fail</v>
      </c>
      <c r="H125" s="9">
        <f t="shared" si="5"/>
        <v>1</v>
      </c>
    </row>
    <row r="126" spans="2:8" ht="15.75" thickBot="1" x14ac:dyDescent="0.3">
      <c r="B126" s="249" t="str">
        <f>D_M01!B29</f>
        <v>Air Handler – in Conditioned Space</v>
      </c>
      <c r="C126" s="107"/>
      <c r="D126" s="107"/>
      <c r="E126" s="113"/>
      <c r="F126" s="106" t="str">
        <f t="shared" si="6"/>
        <v>Fail</v>
      </c>
      <c r="H126" s="9">
        <f t="shared" si="5"/>
        <v>1</v>
      </c>
    </row>
    <row r="127" spans="2:8" thickBot="1" x14ac:dyDescent="0.35">
      <c r="B127" s="249" t="str">
        <f>D_M01!B30</f>
        <v>Mechanical Ventilation</v>
      </c>
      <c r="C127" s="107"/>
      <c r="D127" s="107"/>
      <c r="E127" s="104"/>
      <c r="F127" s="106" t="str">
        <f t="shared" si="6"/>
        <v>Fail</v>
      </c>
      <c r="H127" s="9">
        <f t="shared" si="5"/>
        <v>1</v>
      </c>
    </row>
    <row r="128" spans="2:8" thickBot="1" x14ac:dyDescent="0.35">
      <c r="B128" s="249" t="str">
        <f>D_M01!B31</f>
        <v>Hot Water System - electric</v>
      </c>
      <c r="C128" s="107"/>
      <c r="D128" s="107"/>
      <c r="E128" s="113"/>
      <c r="F128" s="106" t="str">
        <f t="shared" si="6"/>
        <v>Fail</v>
      </c>
      <c r="H128" s="9">
        <f t="shared" si="5"/>
        <v>1</v>
      </c>
    </row>
    <row r="129" spans="1:8" thickBot="1" x14ac:dyDescent="0.35">
      <c r="B129" s="249" t="str">
        <f>D_M01!B32</f>
        <v>All Hot Water Lines</v>
      </c>
      <c r="C129" s="107"/>
      <c r="D129" s="107"/>
      <c r="E129" s="113"/>
      <c r="F129" s="106" t="str">
        <f t="shared" si="6"/>
        <v>Fail</v>
      </c>
      <c r="H129" s="9">
        <f t="shared" si="5"/>
        <v>1</v>
      </c>
    </row>
    <row r="130" spans="1:8" thickBot="1" x14ac:dyDescent="0.35">
      <c r="B130" s="249" t="str">
        <f>D_M01!B33</f>
        <v>Hot Water Circulation -none</v>
      </c>
      <c r="C130" s="107"/>
      <c r="D130" s="107"/>
      <c r="E130" s="113"/>
      <c r="F130" s="106" t="str">
        <f t="shared" si="6"/>
        <v>Fail</v>
      </c>
      <c r="H130" s="9">
        <f t="shared" si="5"/>
        <v>1</v>
      </c>
    </row>
    <row r="131" spans="1:8" thickBot="1" x14ac:dyDescent="0.35">
      <c r="B131" s="249" t="str">
        <f>D_M01!B34</f>
        <v>Lighting</v>
      </c>
      <c r="C131" s="107"/>
      <c r="D131" s="107"/>
      <c r="E131" s="113"/>
      <c r="F131" s="106" t="str">
        <f t="shared" si="6"/>
        <v>Fail</v>
      </c>
      <c r="H131" s="9">
        <f t="shared" si="5"/>
        <v>1</v>
      </c>
    </row>
    <row r="132" spans="1:8" thickBot="1" x14ac:dyDescent="0.35">
      <c r="B132" s="249" t="str">
        <f>D_M01!B35</f>
        <v>Pool and Spa - none</v>
      </c>
      <c r="C132" s="107"/>
      <c r="D132" s="107"/>
      <c r="E132" s="113"/>
      <c r="F132" s="106" t="str">
        <f t="shared" si="6"/>
        <v>Fail</v>
      </c>
      <c r="H132" s="9">
        <f t="shared" si="5"/>
        <v>1</v>
      </c>
    </row>
    <row r="133" spans="1:8" thickBot="1" x14ac:dyDescent="0.35">
      <c r="B133" s="250" t="str">
        <f>D_M01!B38</f>
        <v>Area Weighted Fenestration U-Factor Value</v>
      </c>
      <c r="C133" s="107"/>
      <c r="D133" s="107"/>
      <c r="E133" s="111"/>
      <c r="F133" s="106" t="s">
        <v>63</v>
      </c>
      <c r="H133" s="9">
        <f t="shared" si="5"/>
        <v>0</v>
      </c>
    </row>
    <row r="134" spans="1:8" thickBot="1" x14ac:dyDescent="0.35">
      <c r="B134" s="250" t="str">
        <f>D_M01!B39</f>
        <v>Area Weighted Fenestration SHGC Value</v>
      </c>
      <c r="C134" s="107"/>
      <c r="D134" s="107"/>
      <c r="E134" s="104"/>
      <c r="F134" s="106" t="str">
        <f>IF(E134&gt;UA_M01!S27,IF(E134&lt;=UA_M01!S28,"Pass","Fail"),"Fail")</f>
        <v>Fail</v>
      </c>
      <c r="H134" s="9">
        <f t="shared" si="5"/>
        <v>1</v>
      </c>
    </row>
    <row r="135" spans="1:8" thickBot="1" x14ac:dyDescent="0.35">
      <c r="B135" s="250" t="str">
        <f>D_M01!B40</f>
        <v>Total Thermal Envelope UA Value</v>
      </c>
      <c r="C135" s="107"/>
      <c r="D135" s="107"/>
      <c r="E135" s="104"/>
      <c r="F135" s="106" t="str">
        <f>IF(E135&gt;=UA_M01!H27,IF(E135&lt;=UA_M01!H28,"Pass","Fail"),"Fail")</f>
        <v>Fail</v>
      </c>
      <c r="H135" s="9">
        <f t="shared" si="5"/>
        <v>1</v>
      </c>
    </row>
    <row r="136" spans="1:8" thickBot="1" x14ac:dyDescent="0.35">
      <c r="B136" s="250" t="str">
        <f>D_M01!B41</f>
        <v>Area Weighted Fenestration U-Factor Result</v>
      </c>
      <c r="C136" s="107"/>
      <c r="D136" s="107"/>
      <c r="E136" s="111"/>
      <c r="F136" s="106" t="s">
        <v>63</v>
      </c>
      <c r="H136" s="9">
        <f t="shared" si="5"/>
        <v>0</v>
      </c>
    </row>
    <row r="137" spans="1:8" thickBot="1" x14ac:dyDescent="0.35">
      <c r="B137" s="250" t="str">
        <f>D_M01!B42</f>
        <v>Area Weighted Fenestration SHGC Result</v>
      </c>
      <c r="C137" s="107"/>
      <c r="D137" s="107"/>
      <c r="E137" s="104"/>
      <c r="F137" s="106" t="str">
        <f>IF(E137="Complies","Pass","Fail")</f>
        <v>Fail</v>
      </c>
      <c r="H137" s="9">
        <f t="shared" si="5"/>
        <v>1</v>
      </c>
    </row>
    <row r="138" spans="1:8" ht="18" customHeight="1" thickBot="1" x14ac:dyDescent="0.35">
      <c r="B138" s="250" t="str">
        <f>D_M01!B43</f>
        <v>Baseline Thermal Envelope UA Value</v>
      </c>
      <c r="C138" s="107"/>
      <c r="D138" s="107"/>
      <c r="E138" s="104"/>
      <c r="F138" s="106" t="str">
        <f>IF(E138&gt;=UA_M01!J27,IF(E138&lt;=UA_M01!J28,"Pass","Fail"),"Fail")</f>
        <v>Fail</v>
      </c>
      <c r="H138" s="9">
        <f t="shared" si="5"/>
        <v>1</v>
      </c>
    </row>
    <row r="139" spans="1:8" thickBot="1" x14ac:dyDescent="0.35">
      <c r="B139" s="250" t="str">
        <f>D_M01!B44</f>
        <v>Total Thermal Envelope UA Result</v>
      </c>
      <c r="C139" s="107"/>
      <c r="D139" s="107"/>
      <c r="E139" s="104"/>
      <c r="F139" s="106" t="str">
        <f>IF(E139="Complies","Pass","Fail")</f>
        <v>Fail</v>
      </c>
      <c r="H139" s="9">
        <f t="shared" si="5"/>
        <v>1</v>
      </c>
    </row>
    <row r="140" spans="1:8" thickBot="1" x14ac:dyDescent="0.35">
      <c r="B140" s="250" t="str">
        <f>D_M01!B45</f>
        <v>House Complies?</v>
      </c>
      <c r="C140" s="107"/>
      <c r="D140" s="107"/>
      <c r="E140" s="104"/>
      <c r="F140" s="106" t="str">
        <f>IF(E140="Yes","Pass","Fail")</f>
        <v>Fail</v>
      </c>
      <c r="H140" s="9">
        <f t="shared" si="5"/>
        <v>1</v>
      </c>
    </row>
    <row r="141" spans="1:8" ht="21.6" customHeight="1" x14ac:dyDescent="0.5">
      <c r="E141" s="15" t="s">
        <v>85</v>
      </c>
      <c r="F141" s="16" t="str">
        <f>IF(H141&gt;0,"FAIL","PASS")</f>
        <v>FAIL</v>
      </c>
      <c r="H141">
        <f xml:space="preserve"> SUM(H105:H140)</f>
        <v>20</v>
      </c>
    </row>
    <row r="142" spans="1:8" ht="8.4499999999999993" customHeight="1" x14ac:dyDescent="0.3">
      <c r="A142" s="14"/>
      <c r="B142" s="14"/>
      <c r="C142" s="14"/>
      <c r="D142" s="14"/>
      <c r="E142" s="14"/>
      <c r="F142" s="14"/>
      <c r="G142" s="14"/>
    </row>
  </sheetData>
  <sheetProtection password="BDDF" sheet="1" objects="1" scenarios="1"/>
  <mergeCells count="3">
    <mergeCell ref="D3:E3"/>
    <mergeCell ref="D52:E52"/>
    <mergeCell ref="D99:E99"/>
  </mergeCells>
  <dataValidations count="28">
    <dataValidation type="list" allowBlank="1" showInputMessage="1" showErrorMessage="1" sqref="E127 E80 C33">
      <formula1>MechanicalVent</formula1>
    </dataValidation>
    <dataValidation type="list" allowBlank="1" showInputMessage="1" showErrorMessage="1" sqref="E93 C46 E140">
      <formula1>Complies</formula1>
    </dataValidation>
    <dataValidation type="list" allowBlank="1" showInputMessage="1" showErrorMessage="1" sqref="C60 C107 C109 C112 C114 C116 C118 C62 C65 C67 C69 C71">
      <formula1>UCalcMethod</formula1>
    </dataValidation>
    <dataValidation type="decimal" allowBlank="1" showInputMessage="1" showErrorMessage="1" sqref="D135 D138">
      <formula1>0</formula1>
      <formula2>1000</formula2>
    </dataValidation>
    <dataValidation type="list" allowBlank="1" showInputMessage="1" showErrorMessage="1" sqref="C41 C44:C45 E139">
      <formula1>TotalUA</formula1>
    </dataValidation>
    <dataValidation type="list" allowBlank="1" showInputMessage="1" showErrorMessage="1" sqref="C43 E90 E137">
      <formula1>OverallFenSHGC</formula1>
    </dataValidation>
    <dataValidation type="list" allowBlank="1" showInputMessage="1" showErrorMessage="1" sqref="C42 E89">
      <formula1>OverallFenU</formula1>
    </dataValidation>
    <dataValidation type="decimal" allowBlank="1" showInputMessage="1" showErrorMessage="1" sqref="D107 D65 D60 D62 C40 D109 D112 D118 D116 D114 D71 D69 D67">
      <formula1>0</formula1>
      <formula2>1</formula2>
    </dataValidation>
    <dataValidation type="decimal" allowBlank="1" showInputMessage="1" showErrorMessage="1" sqref="C39 D72 D61 D110:D111 D63:D64 D66 D68 D113 D115 D117 D108 D70 D119">
      <formula1>0</formula1>
      <formula2>2</formula2>
    </dataValidation>
    <dataValidation type="list" allowBlank="1" showInputMessage="1" showErrorMessage="1" sqref="C15 C18 C20 C22 C24 E71 E62 E65 E69 E67">
      <formula1>Wall</formula1>
    </dataValidation>
    <dataValidation type="list" allowBlank="1" showInputMessage="1" showErrorMessage="1" sqref="C38 E85 E132">
      <formula1>PoolandSpa</formula1>
    </dataValidation>
    <dataValidation type="list" allowBlank="1" showInputMessage="1" showErrorMessage="1" sqref="C37 E84 E131">
      <formula1>Lighting</formula1>
    </dataValidation>
    <dataValidation type="list" allowBlank="1" showInputMessage="1" showErrorMessage="1" sqref="C36 E83 E130">
      <formula1>HotWaterCirculation</formula1>
    </dataValidation>
    <dataValidation type="list" allowBlank="1" showInputMessage="1" showErrorMessage="1" sqref="C35 E82 E129">
      <formula1>HotWaterLines</formula1>
    </dataValidation>
    <dataValidation type="list" allowBlank="1" showInputMessage="1" showErrorMessage="1" sqref="C34 E81 E128">
      <formula1>HotWaterSystem</formula1>
    </dataValidation>
    <dataValidation type="list" allowBlank="1" showInputMessage="1" showErrorMessage="1" sqref="C32 E79 E126">
      <formula1>AirHandler</formula1>
    </dataValidation>
    <dataValidation type="list" allowBlank="1" showInputMessage="1" showErrorMessage="1" sqref="C31 E78 E125">
      <formula1>DuctTightness</formula1>
    </dataValidation>
    <dataValidation type="list" allowBlank="1" showInputMessage="1" showErrorMessage="1" sqref="C30 E77 E124">
      <formula1>ReturnDucts</formula1>
    </dataValidation>
    <dataValidation type="list" allowBlank="1" showInputMessage="1" showErrorMessage="1" sqref="C29 E76 E123">
      <formula1>SupplyDucts</formula1>
    </dataValidation>
    <dataValidation type="list" allowBlank="1" showInputMessage="1" showErrorMessage="1" sqref="C28 E75 E122">
      <formula1>Cooling</formula1>
    </dataValidation>
    <dataValidation type="list" allowBlank="1" showInputMessage="1" showErrorMessage="1" sqref="C27 E74 E121">
      <formula1>Heating</formula1>
    </dataValidation>
    <dataValidation type="list" allowBlank="1" showInputMessage="1" showErrorMessage="1" sqref="C26 E73 E120">
      <formula1>Infiltration</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16 C110 E63">
      <formula1>Door</formula1>
    </dataValidation>
    <dataValidation type="list" allowBlank="1" showInputMessage="1" showErrorMessage="1" sqref="C14 C61 E61 C108 E108">
      <formula1>Skylight</formula1>
    </dataValidation>
    <dataValidation type="list" allowBlank="1" showInputMessage="1" showErrorMessage="1" sqref="C13 E60">
      <formula1>Ceiling</formula1>
    </dataValidation>
    <dataValidation type="list" allowBlank="1" showInputMessage="1" showErrorMessage="1" sqref="C12 E59">
      <formula1>Roof</formula1>
    </dataValidation>
    <dataValidation type="list" allowBlank="1" showInputMessage="1" showErrorMessage="1" sqref="C11 E58">
      <formula1>Floor</formula1>
    </dataValidation>
  </dataValidations>
  <pageMargins left="0.7" right="0.7" top="0.75" bottom="0.75" header="0.3" footer="0.3"/>
  <pageSetup scale="66" orientation="portrait" r:id="rId1"/>
  <rowBreaks count="2" manualBreakCount="2">
    <brk id="48" max="5" man="1"/>
    <brk id="95"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4"/>
  <sheetViews>
    <sheetView zoomScale="70" zoomScaleNormal="70" zoomScaleSheetLayoutView="29" workbookViewId="0">
      <selection activeCell="I19" sqref="I19"/>
    </sheetView>
  </sheetViews>
  <sheetFormatPr defaultColWidth="9.140625" defaultRowHeight="15" x14ac:dyDescent="0.25"/>
  <cols>
    <col min="1" max="1" width="4.5703125" style="33" customWidth="1"/>
    <col min="2" max="2" width="8.28515625" style="33" customWidth="1"/>
    <col min="3" max="3" width="49.85546875" style="33" customWidth="1"/>
    <col min="4" max="5" width="12.7109375" style="33" customWidth="1"/>
    <col min="6" max="6" width="13.28515625" style="33" customWidth="1"/>
    <col min="7" max="7" width="11.5703125" style="33" customWidth="1"/>
    <col min="8" max="8" width="11.28515625" style="33" customWidth="1"/>
    <col min="9" max="10" width="11.140625" style="33" customWidth="1"/>
    <col min="11" max="12" width="12" style="33" customWidth="1"/>
    <col min="13" max="13" width="10.5703125" style="33" customWidth="1"/>
    <col min="14" max="14" width="12" style="33" customWidth="1"/>
    <col min="15" max="15" width="10.140625" style="33" customWidth="1"/>
    <col min="16" max="20" width="12" style="33" customWidth="1"/>
    <col min="21" max="16384" width="9.140625" style="33"/>
  </cols>
  <sheetData>
    <row r="2" spans="2:20" ht="14.45" x14ac:dyDescent="0.3">
      <c r="B2" s="453" t="str">
        <f>D_M01!B2</f>
        <v xml:space="preserve">Prescriptive Test: House M01 (Pr-M01) Characteristics – Location: Miami, Florida. </v>
      </c>
      <c r="C2" s="453"/>
      <c r="D2" s="453"/>
      <c r="E2" s="453"/>
      <c r="F2" s="333"/>
    </row>
    <row r="3" spans="2:20" ht="14.45" x14ac:dyDescent="0.3">
      <c r="B3" s="453" t="str">
        <f>D_M01!B3</f>
        <v>Single Family Detached Home with No Attached Garage, Single Story, Three bedroom.</v>
      </c>
      <c r="C3" s="453"/>
      <c r="D3" s="453"/>
      <c r="E3" s="453"/>
      <c r="F3" s="333"/>
    </row>
    <row r="4" spans="2:20" ht="14.45" x14ac:dyDescent="0.3">
      <c r="E4" s="34"/>
    </row>
    <row r="5" spans="2:20" ht="18.75" customHeight="1" x14ac:dyDescent="0.3">
      <c r="B5" s="32" t="s">
        <v>278</v>
      </c>
      <c r="C5" s="32"/>
      <c r="D5" s="32"/>
      <c r="E5" s="32"/>
      <c r="F5" s="32"/>
      <c r="G5" s="32"/>
      <c r="H5" s="32"/>
      <c r="I5" s="32"/>
      <c r="J5" s="32"/>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8">
        <v>1</v>
      </c>
      <c r="C8" s="225" t="str">
        <f>D_M01!B8</f>
        <v>Slab-on-grade Floor</v>
      </c>
      <c r="D8" s="39" t="s">
        <v>30</v>
      </c>
      <c r="E8" s="40"/>
      <c r="F8" s="41"/>
      <c r="G8" s="42"/>
      <c r="H8" s="41"/>
      <c r="I8" s="43"/>
      <c r="J8" s="43"/>
      <c r="K8" s="39"/>
      <c r="L8" s="41"/>
      <c r="M8" s="40"/>
      <c r="N8" s="41"/>
      <c r="O8" s="44"/>
      <c r="P8" s="41"/>
      <c r="Q8" s="44"/>
      <c r="R8" s="41"/>
      <c r="S8" s="44"/>
      <c r="T8" s="41"/>
    </row>
    <row r="9" spans="2:20" ht="15" customHeight="1" x14ac:dyDescent="0.3">
      <c r="B9" s="45">
        <v>2</v>
      </c>
      <c r="C9" s="226" t="str">
        <f>D_M01!B9</f>
        <v>Roof – gable type- 5 in 12 slope No overhangs</v>
      </c>
      <c r="D9" s="47" t="s">
        <v>33</v>
      </c>
      <c r="E9" s="48"/>
      <c r="F9" s="49"/>
      <c r="G9" s="47"/>
      <c r="H9" s="49"/>
      <c r="I9" s="48"/>
      <c r="J9" s="48"/>
      <c r="K9" s="47"/>
      <c r="L9" s="49"/>
      <c r="M9" s="48"/>
      <c r="N9" s="49"/>
      <c r="O9" s="45"/>
      <c r="P9" s="49"/>
      <c r="Q9" s="45"/>
      <c r="R9" s="49"/>
      <c r="S9" s="45"/>
      <c r="T9" s="49"/>
    </row>
    <row r="10" spans="2:20" ht="15" customHeight="1" x14ac:dyDescent="0.3">
      <c r="B10" s="45">
        <v>3</v>
      </c>
      <c r="C10" s="226" t="str">
        <f>D_M01!B10</f>
        <v>Ceiling1 –flat under attic</v>
      </c>
      <c r="D10" s="47" t="s">
        <v>34</v>
      </c>
      <c r="E10" s="135">
        <f>D_M01!G10</f>
        <v>2000</v>
      </c>
      <c r="F10" s="207">
        <f>E10-E11</f>
        <v>1990</v>
      </c>
      <c r="G10" s="208">
        <f>D53</f>
        <v>3.4267920123583803E-2</v>
      </c>
      <c r="H10" s="204">
        <f t="shared" ref="H10:H22" si="0">$G10*$F10</f>
        <v>68.193161045931774</v>
      </c>
      <c r="I10" s="138">
        <f>D35</f>
        <v>3.5000000000000003E-2</v>
      </c>
      <c r="J10" s="125">
        <f t="shared" ref="J10:J22" si="1">$I10*$F10</f>
        <v>69.650000000000006</v>
      </c>
      <c r="K10" s="51"/>
      <c r="L10" s="50"/>
      <c r="M10" s="48"/>
      <c r="N10" s="49"/>
      <c r="O10" s="45"/>
      <c r="P10" s="49"/>
      <c r="Q10" s="45"/>
      <c r="R10" s="49"/>
      <c r="S10" s="45"/>
      <c r="T10" s="49"/>
    </row>
    <row r="11" spans="2:20" ht="15" customHeight="1" x14ac:dyDescent="0.3">
      <c r="B11" s="45">
        <v>4</v>
      </c>
      <c r="C11" s="226" t="str">
        <f>D_M01!B11</f>
        <v xml:space="preserve">        Skylight</v>
      </c>
      <c r="D11" s="47" t="s">
        <v>35</v>
      </c>
      <c r="E11" s="135">
        <f>D_M01!G11</f>
        <v>10</v>
      </c>
      <c r="F11" s="207">
        <f>E11</f>
        <v>10</v>
      </c>
      <c r="G11" s="208">
        <f>D_M01!E11</f>
        <v>0.75</v>
      </c>
      <c r="H11" s="204">
        <f t="shared" si="0"/>
        <v>7.5</v>
      </c>
      <c r="I11" s="138">
        <f>D38</f>
        <v>0.75</v>
      </c>
      <c r="J11" s="125">
        <f t="shared" si="1"/>
        <v>7.5</v>
      </c>
      <c r="K11" s="203">
        <f>IF(E11&lt;=Selections!$C$33,0,E11)</f>
        <v>0</v>
      </c>
      <c r="L11" s="204">
        <f>E11</f>
        <v>10</v>
      </c>
      <c r="M11" s="138">
        <f>$G11</f>
        <v>0.75</v>
      </c>
      <c r="N11" s="204">
        <f>K11*M11</f>
        <v>0</v>
      </c>
      <c r="O11" s="136">
        <f>$G11</f>
        <v>0.75</v>
      </c>
      <c r="P11" s="204">
        <f>O11*L11</f>
        <v>7.5</v>
      </c>
      <c r="Q11" s="136">
        <f>D_M01!F11</f>
        <v>0.25</v>
      </c>
      <c r="R11" s="204">
        <f>K11*Q11</f>
        <v>0</v>
      </c>
      <c r="S11" s="136">
        <f>$Q11</f>
        <v>0.25</v>
      </c>
      <c r="T11" s="204">
        <f>S11*L11</f>
        <v>2.5</v>
      </c>
    </row>
    <row r="12" spans="2:20" ht="15" customHeight="1" x14ac:dyDescent="0.3">
      <c r="B12" s="45">
        <v>5</v>
      </c>
      <c r="C12" s="226" t="str">
        <f>D_M01!B12</f>
        <v>Wall 1 –faces North, CBS2</v>
      </c>
      <c r="D12" s="47" t="s">
        <v>36</v>
      </c>
      <c r="E12" s="135">
        <f>D_M01!G12</f>
        <v>500</v>
      </c>
      <c r="F12" s="207">
        <f>E12-E13-E14</f>
        <v>401</v>
      </c>
      <c r="G12" s="208">
        <f>D69</f>
        <v>0.12992802393307415</v>
      </c>
      <c r="H12" s="204">
        <f t="shared" si="0"/>
        <v>52.101137597162733</v>
      </c>
      <c r="I12" s="138">
        <f>D36</f>
        <v>0.17</v>
      </c>
      <c r="J12" s="125">
        <f t="shared" si="1"/>
        <v>68.17</v>
      </c>
      <c r="K12" s="203"/>
      <c r="L12" s="204"/>
      <c r="M12" s="135"/>
      <c r="N12" s="205"/>
      <c r="O12" s="101"/>
      <c r="P12" s="205"/>
      <c r="Q12" s="101"/>
      <c r="R12" s="205"/>
      <c r="S12" s="136"/>
      <c r="T12" s="205"/>
    </row>
    <row r="13" spans="2:20" ht="15" customHeight="1" x14ac:dyDescent="0.3">
      <c r="B13" s="45">
        <v>6</v>
      </c>
      <c r="C13" s="226" t="str">
        <f>D_M01!B13</f>
        <v xml:space="preserve">        Door 1 - </v>
      </c>
      <c r="D13" s="47" t="s">
        <v>38</v>
      </c>
      <c r="E13" s="135">
        <f>D_M01!G13</f>
        <v>24</v>
      </c>
      <c r="F13" s="207">
        <f>E13</f>
        <v>24</v>
      </c>
      <c r="G13" s="208">
        <f>D_M01!E13</f>
        <v>0.65</v>
      </c>
      <c r="H13" s="204">
        <f t="shared" si="0"/>
        <v>15.600000000000001</v>
      </c>
      <c r="I13" s="138">
        <f>D39</f>
        <v>0.5</v>
      </c>
      <c r="J13" s="125">
        <f t="shared" si="1"/>
        <v>12</v>
      </c>
      <c r="K13" s="203">
        <f>IF(E13&lt;=Selections!$C$32,0,E13)</f>
        <v>0</v>
      </c>
      <c r="L13" s="204">
        <f>E13</f>
        <v>24</v>
      </c>
      <c r="M13" s="135">
        <v>0</v>
      </c>
      <c r="N13" s="204">
        <f>K13*M13</f>
        <v>0</v>
      </c>
      <c r="O13" s="136">
        <f>$G13</f>
        <v>0.65</v>
      </c>
      <c r="P13" s="204">
        <f>O13*L13</f>
        <v>15.600000000000001</v>
      </c>
      <c r="Q13" s="101">
        <f>D_M01!F13</f>
        <v>0</v>
      </c>
      <c r="R13" s="204">
        <f>K13*Q13</f>
        <v>0</v>
      </c>
      <c r="S13" s="140">
        <f t="shared" ref="S13:S22" si="2">$Q13</f>
        <v>0</v>
      </c>
      <c r="T13" s="204">
        <f>S13*L13</f>
        <v>0</v>
      </c>
    </row>
    <row r="14" spans="2:20" ht="15" customHeight="1" x14ac:dyDescent="0.3">
      <c r="B14" s="45">
        <v>7</v>
      </c>
      <c r="C14" s="226" t="str">
        <f>D_M01!B14</f>
        <v xml:space="preserve">        Window 1 – Vinyl Frame Low-e Double</v>
      </c>
      <c r="D14" s="47" t="s">
        <v>37</v>
      </c>
      <c r="E14" s="135">
        <f>D_M01!G14</f>
        <v>75</v>
      </c>
      <c r="F14" s="207">
        <f>E14</f>
        <v>75</v>
      </c>
      <c r="G14" s="208">
        <f>D_M01!E14</f>
        <v>0.65</v>
      </c>
      <c r="H14" s="204">
        <f t="shared" si="0"/>
        <v>48.75</v>
      </c>
      <c r="I14" s="138">
        <f>D40</f>
        <v>0.5</v>
      </c>
      <c r="J14" s="125">
        <f t="shared" si="1"/>
        <v>37.5</v>
      </c>
      <c r="K14" s="203">
        <f>IF(E14&lt;=Selections!$C$33,0,E14)</f>
        <v>75</v>
      </c>
      <c r="L14" s="204">
        <f>E14</f>
        <v>75</v>
      </c>
      <c r="M14" s="138">
        <f>$G14</f>
        <v>0.65</v>
      </c>
      <c r="N14" s="204">
        <f>K14*M14</f>
        <v>48.75</v>
      </c>
      <c r="O14" s="136">
        <f>$G14</f>
        <v>0.65</v>
      </c>
      <c r="P14" s="204">
        <f>O14*L14</f>
        <v>48.75</v>
      </c>
      <c r="Q14" s="136">
        <f>D_M01!F14</f>
        <v>0.25</v>
      </c>
      <c r="R14" s="204">
        <f>K14*Q14</f>
        <v>18.75</v>
      </c>
      <c r="S14" s="136">
        <f t="shared" si="2"/>
        <v>0.25</v>
      </c>
      <c r="T14" s="204">
        <f>S14*L14</f>
        <v>18.75</v>
      </c>
    </row>
    <row r="15" spans="2:20" ht="15" customHeight="1" x14ac:dyDescent="0.3">
      <c r="B15" s="45">
        <v>8</v>
      </c>
      <c r="C15" s="226" t="str">
        <f>D_M01!B15</f>
        <v>Wall 2 –faces East, CBS</v>
      </c>
      <c r="D15" s="52" t="s">
        <v>36</v>
      </c>
      <c r="E15" s="135">
        <f>D_M01!G15</f>
        <v>400</v>
      </c>
      <c r="F15" s="207">
        <f>E15-E16</f>
        <v>325</v>
      </c>
      <c r="G15" s="208">
        <f>D69</f>
        <v>0.12992802393307415</v>
      </c>
      <c r="H15" s="204">
        <f t="shared" si="0"/>
        <v>42.226607778249097</v>
      </c>
      <c r="I15" s="138">
        <f>D36</f>
        <v>0.17</v>
      </c>
      <c r="J15" s="125">
        <f t="shared" si="1"/>
        <v>55.250000000000007</v>
      </c>
      <c r="K15" s="203"/>
      <c r="L15" s="204"/>
      <c r="M15" s="135"/>
      <c r="N15" s="205"/>
      <c r="O15" s="101"/>
      <c r="P15" s="205"/>
      <c r="Q15" s="101"/>
      <c r="R15" s="205"/>
      <c r="S15" s="136"/>
      <c r="T15" s="205"/>
    </row>
    <row r="16" spans="2:20" ht="15" customHeight="1" x14ac:dyDescent="0.3">
      <c r="B16" s="45">
        <v>9</v>
      </c>
      <c r="C16" s="226" t="str">
        <f>D_M01!B16</f>
        <v xml:space="preserve">        Window 2 – Vinyl Frame Low-e Double</v>
      </c>
      <c r="D16" s="47" t="s">
        <v>37</v>
      </c>
      <c r="E16" s="135">
        <f>D_M01!G16</f>
        <v>75</v>
      </c>
      <c r="F16" s="207">
        <f>E16</f>
        <v>75</v>
      </c>
      <c r="G16" s="208">
        <f>D_M01!E16</f>
        <v>0.65</v>
      </c>
      <c r="H16" s="204">
        <f t="shared" si="0"/>
        <v>48.75</v>
      </c>
      <c r="I16" s="138">
        <f>D40</f>
        <v>0.5</v>
      </c>
      <c r="J16" s="125">
        <f t="shared" si="1"/>
        <v>37.5</v>
      </c>
      <c r="K16" s="203">
        <f>IF(E16&lt;=Selections!$C$33,0,E16)</f>
        <v>75</v>
      </c>
      <c r="L16" s="204">
        <f>E16</f>
        <v>75</v>
      </c>
      <c r="M16" s="138">
        <f>$G16</f>
        <v>0.65</v>
      </c>
      <c r="N16" s="204">
        <f>K16*M16</f>
        <v>48.75</v>
      </c>
      <c r="O16" s="136">
        <f>$G16</f>
        <v>0.65</v>
      </c>
      <c r="P16" s="204">
        <f>O16*L16</f>
        <v>48.75</v>
      </c>
      <c r="Q16" s="136">
        <f>D_M01!F16</f>
        <v>0.25</v>
      </c>
      <c r="R16" s="204">
        <f>K16*Q16</f>
        <v>18.75</v>
      </c>
      <c r="S16" s="136">
        <f t="shared" si="2"/>
        <v>0.25</v>
      </c>
      <c r="T16" s="204">
        <f>S16*L16</f>
        <v>18.75</v>
      </c>
    </row>
    <row r="17" spans="2:20" ht="15" customHeight="1" x14ac:dyDescent="0.3">
      <c r="B17" s="45">
        <v>10</v>
      </c>
      <c r="C17" s="226" t="str">
        <f>D_M01!B17</f>
        <v>Wall 3 –faces South, CBS</v>
      </c>
      <c r="D17" s="47" t="s">
        <v>36</v>
      </c>
      <c r="E17" s="135">
        <f>D_M01!G17</f>
        <v>400</v>
      </c>
      <c r="F17" s="207">
        <f>E17-E18</f>
        <v>385</v>
      </c>
      <c r="G17" s="208">
        <f>D69</f>
        <v>0.12992802393307415</v>
      </c>
      <c r="H17" s="204">
        <f t="shared" si="0"/>
        <v>50.022289214233545</v>
      </c>
      <c r="I17" s="138">
        <f>D36</f>
        <v>0.17</v>
      </c>
      <c r="J17" s="125">
        <f t="shared" si="1"/>
        <v>65.45</v>
      </c>
      <c r="K17" s="203"/>
      <c r="L17" s="204"/>
      <c r="M17" s="135"/>
      <c r="N17" s="205"/>
      <c r="O17" s="101"/>
      <c r="P17" s="205"/>
      <c r="Q17" s="101"/>
      <c r="R17" s="205"/>
      <c r="S17" s="136"/>
      <c r="T17" s="205"/>
    </row>
    <row r="18" spans="2:20" ht="15" customHeight="1" x14ac:dyDescent="0.3">
      <c r="B18" s="45">
        <v>11</v>
      </c>
      <c r="C18" s="226" t="str">
        <f>D_M01!B18</f>
        <v xml:space="preserve">        Window 3 – Vinyl Frame Low-e Double</v>
      </c>
      <c r="D18" s="47" t="s">
        <v>37</v>
      </c>
      <c r="E18" s="135">
        <f>D_M01!G18</f>
        <v>15</v>
      </c>
      <c r="F18" s="207">
        <f>E18</f>
        <v>15</v>
      </c>
      <c r="G18" s="208">
        <f>D_M01!E18</f>
        <v>0.65</v>
      </c>
      <c r="H18" s="204">
        <f t="shared" si="0"/>
        <v>9.75</v>
      </c>
      <c r="I18" s="138">
        <f>D40</f>
        <v>0.5</v>
      </c>
      <c r="J18" s="125">
        <f t="shared" si="1"/>
        <v>7.5</v>
      </c>
      <c r="K18" s="203">
        <f>E18</f>
        <v>15</v>
      </c>
      <c r="L18" s="204">
        <f>E18</f>
        <v>15</v>
      </c>
      <c r="M18" s="138">
        <f>$G18</f>
        <v>0.65</v>
      </c>
      <c r="N18" s="204">
        <f>K18*M18</f>
        <v>9.75</v>
      </c>
      <c r="O18" s="136">
        <f>$G18</f>
        <v>0.65</v>
      </c>
      <c r="P18" s="204">
        <f>O18*L18</f>
        <v>9.75</v>
      </c>
      <c r="Q18" s="136">
        <f>D_M01!F18</f>
        <v>0.25</v>
      </c>
      <c r="R18" s="204">
        <f>K18*Q18</f>
        <v>3.75</v>
      </c>
      <c r="S18" s="136">
        <f t="shared" si="2"/>
        <v>0.25</v>
      </c>
      <c r="T18" s="204">
        <f>S18*L18</f>
        <v>3.75</v>
      </c>
    </row>
    <row r="19" spans="2:20" ht="15" customHeight="1" x14ac:dyDescent="0.3">
      <c r="B19" s="45">
        <v>12</v>
      </c>
      <c r="C19" s="226" t="str">
        <f>D_M01!B19</f>
        <v>Wall 4 –faces South, Wood3 2x4 Stud</v>
      </c>
      <c r="D19" s="47" t="s">
        <v>36</v>
      </c>
      <c r="E19" s="135">
        <f>D_M01!G19</f>
        <v>100</v>
      </c>
      <c r="F19" s="207">
        <f>E19-E20</f>
        <v>40</v>
      </c>
      <c r="G19" s="208">
        <f>D84</f>
        <v>8.6865673938545357E-2</v>
      </c>
      <c r="H19" s="204">
        <f t="shared" si="0"/>
        <v>3.4746269575418145</v>
      </c>
      <c r="I19" s="138">
        <f>D37</f>
        <v>8.2000000000000003E-2</v>
      </c>
      <c r="J19" s="125">
        <f t="shared" si="1"/>
        <v>3.2800000000000002</v>
      </c>
      <c r="K19" s="203"/>
      <c r="L19" s="204"/>
      <c r="M19" s="135"/>
      <c r="N19" s="205"/>
      <c r="O19" s="101"/>
      <c r="P19" s="205"/>
      <c r="Q19" s="101"/>
      <c r="R19" s="205"/>
      <c r="S19" s="136"/>
      <c r="T19" s="205"/>
    </row>
    <row r="20" spans="2:20" ht="15" customHeight="1" x14ac:dyDescent="0.3">
      <c r="B20" s="45">
        <v>13</v>
      </c>
      <c r="C20" s="226" t="str">
        <f>D_M01!B20</f>
        <v xml:space="preserve">        Window 4 – Vinyl Frame  Low-e Double</v>
      </c>
      <c r="D20" s="47" t="s">
        <v>37</v>
      </c>
      <c r="E20" s="135">
        <f>D_M01!G20</f>
        <v>60</v>
      </c>
      <c r="F20" s="207">
        <f>E20</f>
        <v>60</v>
      </c>
      <c r="G20" s="208">
        <f>D_M01!E20</f>
        <v>0.65</v>
      </c>
      <c r="H20" s="204">
        <f t="shared" si="0"/>
        <v>39</v>
      </c>
      <c r="I20" s="138">
        <f>D40</f>
        <v>0.5</v>
      </c>
      <c r="J20" s="125">
        <f t="shared" si="1"/>
        <v>30</v>
      </c>
      <c r="K20" s="203">
        <f>IF(E20&lt;=Selections!$C$33,0,E20)</f>
        <v>60</v>
      </c>
      <c r="L20" s="204">
        <f>E20</f>
        <v>60</v>
      </c>
      <c r="M20" s="138">
        <f>$G20</f>
        <v>0.65</v>
      </c>
      <c r="N20" s="204">
        <f>K20*M20</f>
        <v>39</v>
      </c>
      <c r="O20" s="136">
        <f>$G20</f>
        <v>0.65</v>
      </c>
      <c r="P20" s="204">
        <f>O20*L20</f>
        <v>39</v>
      </c>
      <c r="Q20" s="136">
        <f>D_M01!F20</f>
        <v>0.25</v>
      </c>
      <c r="R20" s="204">
        <f>K20*Q20</f>
        <v>15</v>
      </c>
      <c r="S20" s="136">
        <f t="shared" si="2"/>
        <v>0.25</v>
      </c>
      <c r="T20" s="204">
        <f>S20*L20</f>
        <v>15</v>
      </c>
    </row>
    <row r="21" spans="2:20" ht="15" customHeight="1" x14ac:dyDescent="0.3">
      <c r="B21" s="45">
        <v>14</v>
      </c>
      <c r="C21" s="226" t="str">
        <f>D_M01!B21</f>
        <v>Wall 5 –faces West, CBS</v>
      </c>
      <c r="D21" s="47" t="s">
        <v>36</v>
      </c>
      <c r="E21" s="135">
        <f>D_M01!G21</f>
        <v>400</v>
      </c>
      <c r="F21" s="207">
        <f>E21-E22</f>
        <v>325</v>
      </c>
      <c r="G21" s="208">
        <f>D69</f>
        <v>0.12992802393307415</v>
      </c>
      <c r="H21" s="204">
        <f t="shared" si="0"/>
        <v>42.226607778249097</v>
      </c>
      <c r="I21" s="138">
        <f>D36</f>
        <v>0.17</v>
      </c>
      <c r="J21" s="125">
        <f t="shared" si="1"/>
        <v>55.250000000000007</v>
      </c>
      <c r="K21" s="203"/>
      <c r="L21" s="204"/>
      <c r="M21" s="135"/>
      <c r="N21" s="205"/>
      <c r="O21" s="101"/>
      <c r="P21" s="205"/>
      <c r="Q21" s="101"/>
      <c r="R21" s="205"/>
      <c r="S21" s="136"/>
      <c r="T21" s="205"/>
    </row>
    <row r="22" spans="2:20" ht="15" customHeight="1" x14ac:dyDescent="0.3">
      <c r="B22" s="53">
        <v>15</v>
      </c>
      <c r="C22" s="227" t="str">
        <f>D_M01!B22</f>
        <v xml:space="preserve">        Window 5 – Vinyl Frame Low-e Double</v>
      </c>
      <c r="D22" s="54" t="s">
        <v>37</v>
      </c>
      <c r="E22" s="209">
        <f>D_M01!G22</f>
        <v>75</v>
      </c>
      <c r="F22" s="210">
        <f>E22</f>
        <v>75</v>
      </c>
      <c r="G22" s="211">
        <f>D_M01!E22</f>
        <v>0.65</v>
      </c>
      <c r="H22" s="206">
        <f t="shared" si="0"/>
        <v>48.75</v>
      </c>
      <c r="I22" s="126">
        <f>D40</f>
        <v>0.5</v>
      </c>
      <c r="J22" s="212">
        <f t="shared" si="1"/>
        <v>37.5</v>
      </c>
      <c r="K22" s="203">
        <f>IF(E22&lt;=Selections!$C$33,0,E22)</f>
        <v>75</v>
      </c>
      <c r="L22" s="206">
        <f>E22</f>
        <v>75</v>
      </c>
      <c r="M22" s="138">
        <f>$G22</f>
        <v>0.65</v>
      </c>
      <c r="N22" s="204">
        <f>K22*M22</f>
        <v>48.75</v>
      </c>
      <c r="O22" s="136">
        <f>$G22</f>
        <v>0.65</v>
      </c>
      <c r="P22" s="204">
        <f>O22*L22</f>
        <v>48.75</v>
      </c>
      <c r="Q22" s="136">
        <f>D_M01!F22</f>
        <v>0.25</v>
      </c>
      <c r="R22" s="204">
        <f>K22*Q22</f>
        <v>18.75</v>
      </c>
      <c r="S22" s="136">
        <f t="shared" si="2"/>
        <v>0.25</v>
      </c>
      <c r="T22" s="204">
        <f>S22*L22</f>
        <v>18.75</v>
      </c>
    </row>
    <row r="23" spans="2:20" ht="3.75" customHeight="1" x14ac:dyDescent="0.3">
      <c r="B23" s="35"/>
      <c r="C23" s="55"/>
      <c r="D23" s="56"/>
      <c r="E23" s="37"/>
      <c r="F23" s="57"/>
      <c r="G23" s="56"/>
      <c r="H23" s="57"/>
      <c r="I23" s="37"/>
      <c r="J23" s="37"/>
      <c r="K23" s="56"/>
      <c r="L23" s="57"/>
      <c r="M23" s="58"/>
      <c r="N23" s="59"/>
      <c r="O23" s="55"/>
      <c r="P23" s="59"/>
      <c r="Q23" s="55"/>
      <c r="R23" s="59"/>
      <c r="S23" s="55"/>
      <c r="T23" s="59"/>
    </row>
    <row r="24" spans="2:20" ht="15.6" x14ac:dyDescent="0.3">
      <c r="B24" s="60"/>
      <c r="C24" s="61" t="s">
        <v>134</v>
      </c>
      <c r="D24" s="62"/>
      <c r="E24" s="58"/>
      <c r="F24" s="59"/>
      <c r="G24" s="62"/>
      <c r="H24" s="456">
        <f>SUM(H10:H22)</f>
        <v>476.34443037136811</v>
      </c>
      <c r="I24" s="463"/>
      <c r="J24" s="458">
        <f>SUM(J10:J22)</f>
        <v>486.54999999999995</v>
      </c>
      <c r="K24" s="459">
        <f>SUM(K10:K22)</f>
        <v>300</v>
      </c>
      <c r="L24" s="456">
        <f>SUM(L10:L22)</f>
        <v>334</v>
      </c>
      <c r="M24" s="460">
        <f>N24/K24</f>
        <v>0.65</v>
      </c>
      <c r="N24" s="456">
        <f>SUM(N10:N22)</f>
        <v>195</v>
      </c>
      <c r="O24" s="461">
        <f>P24/L24</f>
        <v>0.65299401197604789</v>
      </c>
      <c r="P24" s="456">
        <f>SUM(P10:P22)</f>
        <v>218.1</v>
      </c>
      <c r="Q24" s="461">
        <f>R24/K24</f>
        <v>0.25</v>
      </c>
      <c r="R24" s="456">
        <f>SUM(R10:R22)</f>
        <v>75</v>
      </c>
      <c r="S24" s="461">
        <f>T24/(L24-L13)</f>
        <v>0.25</v>
      </c>
      <c r="T24" s="456">
        <f>SUM(T10:T22)</f>
        <v>77.5</v>
      </c>
    </row>
    <row r="25" spans="2:20" ht="9.75" customHeight="1" x14ac:dyDescent="0.3">
      <c r="B25" s="63"/>
      <c r="C25" s="64"/>
      <c r="D25" s="65"/>
      <c r="E25" s="65"/>
      <c r="F25" s="65"/>
      <c r="G25" s="65"/>
      <c r="H25" s="66"/>
      <c r="I25" s="67"/>
      <c r="J25" s="66"/>
      <c r="K25" s="66"/>
      <c r="L25" s="66"/>
      <c r="M25" s="68"/>
      <c r="N25" s="66"/>
      <c r="O25" s="68"/>
      <c r="P25" s="66"/>
      <c r="Q25" s="68"/>
      <c r="R25" s="66"/>
      <c r="S25" s="68"/>
      <c r="T25" s="66"/>
    </row>
    <row r="26" spans="2:20" ht="45" customHeight="1" x14ac:dyDescent="0.3">
      <c r="B26" s="63"/>
      <c r="C26" s="214" t="str">
        <f>Selections!B25</f>
        <v>UA allowed deviation range in %</v>
      </c>
      <c r="D26" s="223">
        <f>Selections!C25</f>
        <v>0.02</v>
      </c>
      <c r="E26" s="70"/>
      <c r="G26" s="34"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34" t="s">
        <v>138</v>
      </c>
      <c r="H27" s="213">
        <f>H24-(H24*$D$26)</f>
        <v>466.81754176394077</v>
      </c>
      <c r="J27" s="213">
        <f>J24-(J24*$D$26)</f>
        <v>476.81899999999996</v>
      </c>
      <c r="K27" s="214"/>
      <c r="L27" s="214"/>
      <c r="M27" s="215">
        <f>M$24-$D$27</f>
        <v>0.64500000000000002</v>
      </c>
      <c r="N27" s="216">
        <f>N$24-$D$26*N$24</f>
        <v>191.1</v>
      </c>
      <c r="O27" s="217">
        <f>O$24-$D$27</f>
        <v>0.64799401197604789</v>
      </c>
      <c r="P27" s="216">
        <f>P$24-$D$26*P$24</f>
        <v>213.738</v>
      </c>
      <c r="Q27" s="217">
        <f>Q$24-$D$28</f>
        <v>0.245</v>
      </c>
      <c r="R27" s="216">
        <f>R$24-$D$26*R$24</f>
        <v>73.5</v>
      </c>
      <c r="S27" s="217">
        <f>S$24-$D$28</f>
        <v>0.245</v>
      </c>
      <c r="T27" s="216">
        <f>T$24-$D$26*T$24</f>
        <v>75.95</v>
      </c>
    </row>
    <row r="28" spans="2:20" ht="14.45" x14ac:dyDescent="0.3">
      <c r="C28" s="214" t="str">
        <f>Selections!B27</f>
        <v>SHGC allowed deviation range absolute</v>
      </c>
      <c r="D28" s="224">
        <f>Selections!C27</f>
        <v>5.0000000000000001E-3</v>
      </c>
      <c r="G28" s="34" t="s">
        <v>140</v>
      </c>
      <c r="H28" s="213">
        <f>H24*(1+$D$26)</f>
        <v>485.8713189787955</v>
      </c>
      <c r="J28" s="213">
        <f>J24*(1+$D$26)</f>
        <v>496.28099999999995</v>
      </c>
      <c r="K28" s="214"/>
      <c r="L28" s="214"/>
      <c r="M28" s="215">
        <f>M$24+$D$27</f>
        <v>0.65500000000000003</v>
      </c>
      <c r="N28" s="216">
        <f>N$24+$D$26*N$24</f>
        <v>198.9</v>
      </c>
      <c r="O28" s="217">
        <f>O$24+$D$28</f>
        <v>0.6579940119760479</v>
      </c>
      <c r="P28" s="216">
        <f>P$24+$D$26*P$24</f>
        <v>222.46199999999999</v>
      </c>
      <c r="Q28" s="217">
        <f>Q$24+$D$28</f>
        <v>0.255</v>
      </c>
      <c r="R28" s="216">
        <f>R$24+$D$26*R$24</f>
        <v>76.5</v>
      </c>
      <c r="S28" s="217">
        <f>S$24+$D$28</f>
        <v>0.255</v>
      </c>
      <c r="T28" s="216">
        <f>T$24+$D$26*T$24</f>
        <v>79.05</v>
      </c>
    </row>
    <row r="29" spans="2:20" ht="14.45" x14ac:dyDescent="0.3">
      <c r="D29" s="34"/>
      <c r="G29" s="34"/>
      <c r="I29" s="71"/>
      <c r="J29" s="71"/>
      <c r="M29" s="72"/>
      <c r="N29" s="73"/>
      <c r="O29" s="74"/>
      <c r="P29" s="73"/>
      <c r="Q29" s="74"/>
      <c r="R29" s="73"/>
      <c r="S29" s="74"/>
      <c r="T29" s="73"/>
    </row>
    <row r="30" spans="2:20" ht="13.5" customHeight="1" x14ac:dyDescent="0.3">
      <c r="B30" s="33" t="s">
        <v>242</v>
      </c>
    </row>
    <row r="31" spans="2:20" ht="19.5" customHeight="1" x14ac:dyDescent="0.3">
      <c r="B31" s="241" t="s">
        <v>261</v>
      </c>
      <c r="C31" s="61"/>
      <c r="D31" s="242"/>
      <c r="E31" s="65"/>
      <c r="F31" s="65"/>
      <c r="G31" s="65"/>
      <c r="H31" s="67"/>
      <c r="I31" s="73"/>
      <c r="J31" s="73"/>
      <c r="K31" s="73"/>
      <c r="L31" s="73"/>
      <c r="M31" s="74"/>
      <c r="N31" s="73"/>
      <c r="O31" s="74"/>
      <c r="P31" s="73"/>
      <c r="Q31" s="74"/>
      <c r="R31" s="73"/>
      <c r="S31" s="74"/>
      <c r="T31" s="73"/>
    </row>
    <row r="32" spans="2:20" ht="43.5" customHeight="1" x14ac:dyDescent="0.3">
      <c r="B32" s="75"/>
      <c r="C32" s="76" t="s">
        <v>141</v>
      </c>
      <c r="D32" s="77" t="s">
        <v>234</v>
      </c>
      <c r="F32" s="70"/>
      <c r="G32" s="70"/>
      <c r="H32" s="70"/>
    </row>
    <row r="33" spans="2:8" ht="14.45" x14ac:dyDescent="0.3">
      <c r="B33" s="79">
        <v>1</v>
      </c>
      <c r="C33" s="80" t="s">
        <v>30</v>
      </c>
      <c r="D33" s="94">
        <v>6.4000000000000001E-2</v>
      </c>
    </row>
    <row r="34" spans="2:8" ht="14.45" x14ac:dyDescent="0.3">
      <c r="B34" s="79">
        <v>2</v>
      </c>
      <c r="C34" s="80" t="s">
        <v>33</v>
      </c>
      <c r="D34" s="94"/>
    </row>
    <row r="35" spans="2:8" ht="14.45" x14ac:dyDescent="0.3">
      <c r="B35" s="79">
        <v>3</v>
      </c>
      <c r="C35" s="285" t="s">
        <v>419</v>
      </c>
      <c r="D35" s="94">
        <v>3.5000000000000003E-2</v>
      </c>
    </row>
    <row r="36" spans="2:8" ht="14.45" x14ac:dyDescent="0.3">
      <c r="B36" s="79">
        <v>4</v>
      </c>
      <c r="C36" s="80" t="s">
        <v>143</v>
      </c>
      <c r="D36" s="149">
        <v>0.17</v>
      </c>
    </row>
    <row r="37" spans="2:8" ht="14.45" x14ac:dyDescent="0.3">
      <c r="B37" s="79">
        <v>5</v>
      </c>
      <c r="C37" s="80" t="s">
        <v>144</v>
      </c>
      <c r="D37" s="94">
        <v>8.2000000000000003E-2</v>
      </c>
    </row>
    <row r="38" spans="2:8" ht="14.45" x14ac:dyDescent="0.3">
      <c r="B38" s="79">
        <v>6</v>
      </c>
      <c r="C38" s="80" t="s">
        <v>35</v>
      </c>
      <c r="D38" s="92">
        <v>0.75</v>
      </c>
    </row>
    <row r="39" spans="2:8" ht="14.45" x14ac:dyDescent="0.3">
      <c r="B39" s="79">
        <v>7</v>
      </c>
      <c r="C39" s="80" t="s">
        <v>38</v>
      </c>
      <c r="D39" s="92">
        <v>0.5</v>
      </c>
    </row>
    <row r="40" spans="2:8" ht="14.45" x14ac:dyDescent="0.3">
      <c r="B40" s="84">
        <v>8</v>
      </c>
      <c r="C40" s="85" t="s">
        <v>145</v>
      </c>
      <c r="D40" s="150">
        <v>0.5</v>
      </c>
    </row>
    <row r="41" spans="2:8" ht="13.5" customHeight="1" x14ac:dyDescent="0.3">
      <c r="B41" s="48"/>
    </row>
    <row r="42" spans="2:8" ht="13.5" customHeight="1" x14ac:dyDescent="0.3">
      <c r="B42" s="48"/>
    </row>
    <row r="43" spans="2:8" ht="30.75" customHeight="1" x14ac:dyDescent="0.3">
      <c r="B43" s="33" t="s">
        <v>34</v>
      </c>
      <c r="C43" s="89" t="s">
        <v>241</v>
      </c>
    </row>
    <row r="44" spans="2:8" ht="31.5" customHeight="1" x14ac:dyDescent="0.3">
      <c r="B44" s="35"/>
      <c r="C44" s="90" t="s">
        <v>146</v>
      </c>
      <c r="D44" s="100" t="s">
        <v>147</v>
      </c>
      <c r="E44" s="160" t="s">
        <v>148</v>
      </c>
      <c r="F44" s="55" t="s">
        <v>142</v>
      </c>
      <c r="G44" s="58"/>
      <c r="H44" s="78"/>
    </row>
    <row r="45" spans="2:8" ht="14.45" x14ac:dyDescent="0.3">
      <c r="B45" s="35"/>
      <c r="C45" s="296" t="s">
        <v>395</v>
      </c>
      <c r="D45" s="124">
        <f>1-D_M01!C50</f>
        <v>0.92999999999999994</v>
      </c>
      <c r="E45" s="141">
        <f>D_M01!C50</f>
        <v>7.0000000000000007E-2</v>
      </c>
      <c r="G45" s="70"/>
      <c r="H45" s="83"/>
    </row>
    <row r="46" spans="2:8" ht="15.75" customHeight="1" x14ac:dyDescent="0.3">
      <c r="B46" s="45">
        <v>1</v>
      </c>
      <c r="C46" s="239" t="str">
        <f>D_M01!B53</f>
        <v>Attic Air film</v>
      </c>
      <c r="D46" s="91">
        <f>D_M01!C53</f>
        <v>0.61</v>
      </c>
      <c r="E46" s="142">
        <f>D_M01!C53</f>
        <v>0.61</v>
      </c>
      <c r="F46" s="46"/>
      <c r="G46" s="70"/>
      <c r="H46" s="83"/>
    </row>
    <row r="47" spans="2:8" ht="15.75" customHeight="1" x14ac:dyDescent="0.3">
      <c r="B47" s="45">
        <v>2</v>
      </c>
      <c r="C47" s="239" t="str">
        <f>D_M01!B54</f>
        <v>Batt Insulation R38</v>
      </c>
      <c r="D47" s="120">
        <f>D_M01!C54</f>
        <v>38</v>
      </c>
      <c r="E47" s="143">
        <v>0</v>
      </c>
      <c r="F47" s="82"/>
      <c r="G47" s="70"/>
      <c r="H47" s="83"/>
    </row>
    <row r="48" spans="2:8" ht="15.75" customHeight="1" x14ac:dyDescent="0.3">
      <c r="B48" s="45">
        <v>3</v>
      </c>
      <c r="C48" s="239" t="str">
        <f>D_M01!B55</f>
        <v>Wood Stud 2 x 4: Nominal</v>
      </c>
      <c r="D48" s="120">
        <v>0</v>
      </c>
      <c r="E48" s="142">
        <f>D_M01!C55</f>
        <v>4.38</v>
      </c>
      <c r="F48" s="82"/>
      <c r="G48" s="70"/>
      <c r="H48" s="83"/>
    </row>
    <row r="49" spans="2:8" ht="15.75" customHeight="1" x14ac:dyDescent="0.3">
      <c r="B49" s="45">
        <v>4</v>
      </c>
      <c r="C49" s="239" t="str">
        <f>D_M01!B56</f>
        <v xml:space="preserve">0.5 Inch Drywall </v>
      </c>
      <c r="D49" s="91">
        <f>D_M01!C56</f>
        <v>0.45</v>
      </c>
      <c r="E49" s="142">
        <f>D_M01!C56</f>
        <v>0.45</v>
      </c>
      <c r="F49" s="82"/>
      <c r="G49" s="70"/>
      <c r="H49" s="83"/>
    </row>
    <row r="50" spans="2:8" ht="15.75" customHeight="1" x14ac:dyDescent="0.3">
      <c r="B50" s="45">
        <v>5</v>
      </c>
      <c r="C50" s="239" t="str">
        <f>D_M01!B57</f>
        <v>Indoor Air film</v>
      </c>
      <c r="D50" s="91">
        <f>D_M01!C57</f>
        <v>0.92</v>
      </c>
      <c r="E50" s="142">
        <f>D_M01!C57</f>
        <v>0.92</v>
      </c>
      <c r="F50" s="82"/>
      <c r="G50" s="70"/>
      <c r="H50" s="83"/>
    </row>
    <row r="51" spans="2:8" ht="15.75" customHeight="1" x14ac:dyDescent="0.3">
      <c r="B51" s="45"/>
      <c r="C51" s="81" t="s">
        <v>158</v>
      </c>
      <c r="D51" s="91">
        <f>SUM(D46:D50)</f>
        <v>39.980000000000004</v>
      </c>
      <c r="E51" s="142">
        <f>SUM(E46:E50)</f>
        <v>6.36</v>
      </c>
      <c r="F51" s="82"/>
      <c r="G51" s="70"/>
      <c r="H51" s="83"/>
    </row>
    <row r="52" spans="2:8" ht="15.75" customHeight="1" x14ac:dyDescent="0.3">
      <c r="B52" s="53"/>
      <c r="C52" s="93" t="s">
        <v>159</v>
      </c>
      <c r="D52" s="123">
        <f>1/D51</f>
        <v>2.5012506253126562E-2</v>
      </c>
      <c r="E52" s="144">
        <f>1/E51</f>
        <v>0.15723270440251572</v>
      </c>
      <c r="F52" s="82"/>
      <c r="G52" s="70"/>
      <c r="H52" s="83"/>
    </row>
    <row r="53" spans="2:8" ht="18" customHeight="1" x14ac:dyDescent="0.3">
      <c r="B53" s="45"/>
      <c r="C53" s="36" t="s">
        <v>160</v>
      </c>
      <c r="D53" s="119">
        <f>D52*D45+E52*E45</f>
        <v>3.4267920123583803E-2</v>
      </c>
      <c r="E53" s="83"/>
      <c r="F53" s="82" t="s">
        <v>83</v>
      </c>
      <c r="G53" s="70"/>
      <c r="H53" s="83"/>
    </row>
    <row r="54" spans="2:8" ht="18" customHeight="1" x14ac:dyDescent="0.3">
      <c r="B54" s="53"/>
      <c r="C54" s="93" t="s">
        <v>161</v>
      </c>
      <c r="D54" s="128">
        <f>1/D53</f>
        <v>29.181811921867471</v>
      </c>
      <c r="E54" s="88"/>
      <c r="F54" s="86"/>
      <c r="G54" s="87"/>
      <c r="H54" s="88"/>
    </row>
    <row r="55" spans="2:8" ht="14.45" x14ac:dyDescent="0.3">
      <c r="B55" s="34"/>
      <c r="F55" s="70"/>
      <c r="G55" s="70"/>
      <c r="H55" s="70"/>
    </row>
    <row r="56" spans="2:8" ht="14.45" x14ac:dyDescent="0.3">
      <c r="B56" s="34"/>
      <c r="F56" s="70"/>
      <c r="G56" s="70"/>
      <c r="H56" s="70"/>
    </row>
    <row r="57" spans="2:8" ht="14.45" x14ac:dyDescent="0.3">
      <c r="B57" s="34"/>
      <c r="F57" s="70"/>
      <c r="G57" s="70"/>
      <c r="H57" s="70"/>
    </row>
    <row r="58" spans="2:8" ht="33.75" customHeight="1" x14ac:dyDescent="0.3">
      <c r="B58" s="34" t="s">
        <v>36</v>
      </c>
      <c r="C58" s="89" t="s">
        <v>240</v>
      </c>
      <c r="F58" s="70"/>
      <c r="G58" s="70"/>
      <c r="H58" s="70"/>
    </row>
    <row r="59" spans="2:8" ht="29.25" customHeight="1" x14ac:dyDescent="0.3">
      <c r="B59" s="55"/>
      <c r="C59" s="96" t="s">
        <v>146</v>
      </c>
      <c r="D59" s="160" t="s">
        <v>212</v>
      </c>
      <c r="E59" s="98"/>
      <c r="F59" s="55" t="s">
        <v>142</v>
      </c>
      <c r="G59" s="58"/>
      <c r="H59" s="78"/>
    </row>
    <row r="60" spans="2:8" ht="14.45" x14ac:dyDescent="0.3">
      <c r="B60" s="38">
        <v>1</v>
      </c>
      <c r="C60" s="229" t="str">
        <f>D_M01!B64</f>
        <v>Outside Air Film (7.5 mph wind, Summer)</v>
      </c>
      <c r="D60" s="118">
        <f>D_M01!C64</f>
        <v>0.25</v>
      </c>
      <c r="E60" s="145"/>
      <c r="G60" s="70"/>
      <c r="H60" s="83"/>
    </row>
    <row r="61" spans="2:8" ht="14.45" x14ac:dyDescent="0.3">
      <c r="B61" s="45">
        <v>2</v>
      </c>
      <c r="C61" s="239" t="str">
        <f>D_M01!B65</f>
        <v>Stucco (0.8 Inch thick, conductivity=9.7 Btu-in/h-ft2-°F)</v>
      </c>
      <c r="D61" s="119">
        <f>D_M01!C65</f>
        <v>8.2474226804123724E-2</v>
      </c>
      <c r="E61" s="83"/>
      <c r="F61" s="82"/>
      <c r="G61" s="70"/>
      <c r="H61" s="83"/>
    </row>
    <row r="62" spans="2:8" ht="14.45" x14ac:dyDescent="0.3">
      <c r="B62" s="45">
        <v>3</v>
      </c>
      <c r="C62" s="239" t="str">
        <f>D_M01!B66</f>
        <v>lathe</v>
      </c>
      <c r="D62" s="120">
        <f>D_M01!C66</f>
        <v>0</v>
      </c>
      <c r="E62" s="83"/>
      <c r="F62" s="82"/>
      <c r="G62" s="70"/>
      <c r="H62" s="83"/>
    </row>
    <row r="63" spans="2:8" ht="14.45" x14ac:dyDescent="0.3">
      <c r="B63" s="45">
        <v>4</v>
      </c>
      <c r="C63" s="239" t="str">
        <f>D_M01!B67</f>
        <v>8 Inch Hollow Concrete Block (Normal Density)</v>
      </c>
      <c r="D63" s="91">
        <f>D_M01!C106</f>
        <v>1.0140947636940258</v>
      </c>
      <c r="E63" s="83"/>
      <c r="F63" s="82"/>
      <c r="G63" s="70"/>
      <c r="H63" s="83"/>
    </row>
    <row r="64" spans="2:8" ht="14.45" x14ac:dyDescent="0.3">
      <c r="B64" s="45">
        <v>5</v>
      </c>
      <c r="C64" s="239" t="str">
        <f>D_M01!B68</f>
        <v>0.75 Inch R4 Insulation Board</v>
      </c>
      <c r="D64" s="120">
        <f>D_M01!C68</f>
        <v>4</v>
      </c>
      <c r="E64" s="83"/>
      <c r="F64" s="82"/>
      <c r="G64" s="70"/>
      <c r="H64" s="83"/>
    </row>
    <row r="65" spans="2:8" ht="14.45" x14ac:dyDescent="0.3">
      <c r="B65" s="45">
        <v>6</v>
      </c>
      <c r="C65" s="239" t="str">
        <f>D_M01!B69</f>
        <v>0.75 Inch Air Space with Furring at 16" on center</v>
      </c>
      <c r="D65" s="121">
        <f>D_M01!C69</f>
        <v>1.22</v>
      </c>
      <c r="E65" s="83"/>
      <c r="F65" s="82"/>
      <c r="G65" s="70"/>
      <c r="H65" s="83"/>
    </row>
    <row r="66" spans="2:8" ht="14.45" x14ac:dyDescent="0.3">
      <c r="B66" s="45">
        <v>7</v>
      </c>
      <c r="C66" s="239" t="str">
        <f>D_M01!B70</f>
        <v xml:space="preserve">0.5 Inch Drywall </v>
      </c>
      <c r="D66" s="121">
        <f>D_M01!C70</f>
        <v>0.45</v>
      </c>
      <c r="E66" s="83"/>
      <c r="F66" s="82"/>
      <c r="G66" s="70"/>
      <c r="H66" s="83"/>
    </row>
    <row r="67" spans="2:8" ht="14.45" x14ac:dyDescent="0.3">
      <c r="B67" s="53">
        <v>8</v>
      </c>
      <c r="C67" s="240" t="str">
        <f>D_M01!B71</f>
        <v>Indoor Air Film</v>
      </c>
      <c r="D67" s="122">
        <f>D_M01!C71</f>
        <v>0.68</v>
      </c>
      <c r="E67" s="88"/>
      <c r="F67" s="82"/>
      <c r="G67" s="70"/>
      <c r="H67" s="83"/>
    </row>
    <row r="68" spans="2:8" ht="17.25" customHeight="1" x14ac:dyDescent="0.3">
      <c r="B68" s="45"/>
      <c r="C68" s="81" t="s">
        <v>161</v>
      </c>
      <c r="D68" s="91">
        <f>SUM(D60:D67)</f>
        <v>7.6965689904981494</v>
      </c>
      <c r="E68" s="83"/>
      <c r="F68" s="82" t="s">
        <v>118</v>
      </c>
      <c r="G68" s="70"/>
      <c r="H68" s="83"/>
    </row>
    <row r="69" spans="2:8" ht="20.25" customHeight="1" x14ac:dyDescent="0.3">
      <c r="B69" s="53"/>
      <c r="C69" s="93" t="s">
        <v>160</v>
      </c>
      <c r="D69" s="123">
        <f>1/D68</f>
        <v>0.12992802393307415</v>
      </c>
      <c r="E69" s="88"/>
      <c r="F69" s="86"/>
      <c r="G69" s="87"/>
      <c r="H69" s="88"/>
    </row>
    <row r="70" spans="2:8" ht="18" customHeight="1" x14ac:dyDescent="0.3">
      <c r="F70" s="70"/>
      <c r="G70" s="70"/>
      <c r="H70" s="70"/>
    </row>
    <row r="71" spans="2:8" ht="18" customHeight="1" x14ac:dyDescent="0.3">
      <c r="F71" s="70"/>
      <c r="G71" s="70"/>
      <c r="H71" s="70"/>
    </row>
    <row r="72" spans="2:8" ht="35.25" customHeight="1" x14ac:dyDescent="0.3">
      <c r="B72" s="33" t="s">
        <v>36</v>
      </c>
      <c r="C72" s="89" t="s">
        <v>239</v>
      </c>
      <c r="F72" s="70"/>
      <c r="G72" s="70"/>
      <c r="H72" s="70"/>
    </row>
    <row r="73" spans="2:8" ht="33" customHeight="1" x14ac:dyDescent="0.3">
      <c r="B73" s="55"/>
      <c r="C73" s="96" t="s">
        <v>146</v>
      </c>
      <c r="D73" s="100" t="s">
        <v>147</v>
      </c>
      <c r="E73" s="160" t="s">
        <v>148</v>
      </c>
      <c r="F73" s="55" t="s">
        <v>142</v>
      </c>
      <c r="G73" s="58"/>
      <c r="H73" s="78"/>
    </row>
    <row r="74" spans="2:8" ht="14.45" x14ac:dyDescent="0.3">
      <c r="B74" s="35"/>
      <c r="C74" s="90" t="s">
        <v>150</v>
      </c>
      <c r="D74" s="134">
        <f>1-D_M01!C76</f>
        <v>0.75</v>
      </c>
      <c r="E74" s="124">
        <f>D_M01!C76</f>
        <v>0.25</v>
      </c>
      <c r="G74" s="70"/>
      <c r="H74" s="83"/>
    </row>
    <row r="75" spans="2:8" ht="14.45" x14ac:dyDescent="0.3">
      <c r="B75" s="45">
        <v>1</v>
      </c>
      <c r="C75" s="239" t="str">
        <f>D_M01!B80</f>
        <v>Outside Air Film (7.5 mph wind, Summer)</v>
      </c>
      <c r="D75" s="101">
        <f>D_M01!C80</f>
        <v>0.25</v>
      </c>
      <c r="E75" s="121">
        <f>D_M01!C80</f>
        <v>0.25</v>
      </c>
      <c r="F75" s="82"/>
      <c r="G75" s="70"/>
      <c r="H75" s="83"/>
    </row>
    <row r="76" spans="2:8" ht="14.45" x14ac:dyDescent="0.3">
      <c r="B76" s="45">
        <v>2</v>
      </c>
      <c r="C76" s="239" t="str">
        <f>D_M01!B81</f>
        <v>Stucco (0.8 Inch thick, conductivity=9.7 Btu-in/h-ft2-°F)</v>
      </c>
      <c r="D76" s="119">
        <f>D_M01!C81</f>
        <v>8.2474226804123724E-2</v>
      </c>
      <c r="E76" s="119">
        <f>D_M01!C81</f>
        <v>8.2474226804123724E-2</v>
      </c>
      <c r="F76" s="82"/>
      <c r="G76" s="70"/>
      <c r="H76" s="83"/>
    </row>
    <row r="77" spans="2:8" ht="14.45" x14ac:dyDescent="0.3">
      <c r="B77" s="45">
        <v>3</v>
      </c>
      <c r="C77" s="239" t="str">
        <f>D_M01!B82</f>
        <v>0.5 Inch Plywood Exterior</v>
      </c>
      <c r="D77" s="137">
        <f>D_M01!C82</f>
        <v>0.79</v>
      </c>
      <c r="E77" s="91">
        <f>D_M01!C82</f>
        <v>0.79</v>
      </c>
      <c r="F77" s="82"/>
      <c r="G77" s="70"/>
      <c r="H77" s="83"/>
    </row>
    <row r="78" spans="2:8" ht="14.45" x14ac:dyDescent="0.3">
      <c r="B78" s="45">
        <v>4</v>
      </c>
      <c r="C78" s="239" t="str">
        <f>D_M01!B83</f>
        <v>Wood Stud 2 x 4: Nominal</v>
      </c>
      <c r="D78" s="137">
        <v>0</v>
      </c>
      <c r="E78" s="91">
        <f>D_M01!C83</f>
        <v>4.38</v>
      </c>
      <c r="F78" s="82"/>
      <c r="G78" s="70"/>
      <c r="H78" s="83"/>
    </row>
    <row r="79" spans="2:8" ht="14.45" x14ac:dyDescent="0.3">
      <c r="B79" s="45">
        <v>5</v>
      </c>
      <c r="C79" s="239" t="str">
        <f>D_M01!B84</f>
        <v>Fiber Glass Batt Insulation R13</v>
      </c>
      <c r="D79" s="137">
        <f>D_M01!C84</f>
        <v>13</v>
      </c>
      <c r="E79" s="120">
        <v>0</v>
      </c>
      <c r="F79" s="82"/>
      <c r="G79" s="70"/>
      <c r="H79" s="83"/>
    </row>
    <row r="80" spans="2:8" ht="14.45" x14ac:dyDescent="0.3">
      <c r="B80" s="45">
        <v>6</v>
      </c>
      <c r="C80" s="239" t="str">
        <f>D_M01!B85</f>
        <v xml:space="preserve">0.5 Inch Drywall </v>
      </c>
      <c r="D80" s="101">
        <f>D_M01!C85</f>
        <v>0.45</v>
      </c>
      <c r="E80" s="121">
        <f>D_M01!C85</f>
        <v>0.45</v>
      </c>
      <c r="F80" s="82"/>
      <c r="G80" s="70"/>
      <c r="H80" s="83"/>
    </row>
    <row r="81" spans="2:8" ht="14.45" x14ac:dyDescent="0.3">
      <c r="B81" s="45">
        <v>7</v>
      </c>
      <c r="C81" s="239" t="str">
        <f>D_M01!B86</f>
        <v>Indoor Air Film</v>
      </c>
      <c r="D81" s="101">
        <f>D_M01!C86</f>
        <v>0.68</v>
      </c>
      <c r="E81" s="121">
        <f>D_M01!C86</f>
        <v>0.68</v>
      </c>
      <c r="F81" s="82"/>
      <c r="G81" s="70"/>
      <c r="H81" s="83"/>
    </row>
    <row r="82" spans="2:8" ht="14.45" x14ac:dyDescent="0.3">
      <c r="B82" s="45"/>
      <c r="C82" s="81" t="s">
        <v>169</v>
      </c>
      <c r="D82" s="137">
        <f>SUM(D75:D81)</f>
        <v>15.252474226804123</v>
      </c>
      <c r="E82" s="91">
        <f>SUM(E75:E81)</f>
        <v>6.6324742268041232</v>
      </c>
      <c r="F82" s="82"/>
      <c r="G82" s="70"/>
      <c r="H82" s="83"/>
    </row>
    <row r="83" spans="2:8" ht="14.45" x14ac:dyDescent="0.3">
      <c r="B83" s="86"/>
      <c r="C83" s="93" t="s">
        <v>170</v>
      </c>
      <c r="D83" s="136">
        <f>1/D82</f>
        <v>6.5563133241860375E-2</v>
      </c>
      <c r="E83" s="119">
        <f>1/E82</f>
        <v>0.15077329602860032</v>
      </c>
      <c r="F83" s="82"/>
      <c r="G83" s="70"/>
      <c r="H83" s="83"/>
    </row>
    <row r="84" spans="2:8" ht="16.5" customHeight="1" x14ac:dyDescent="0.3">
      <c r="B84" s="82"/>
      <c r="C84" s="82" t="s">
        <v>160</v>
      </c>
      <c r="D84" s="102">
        <f>D83*D74+E83*E74</f>
        <v>8.6865673938545357E-2</v>
      </c>
      <c r="E84" s="95"/>
      <c r="F84" s="82" t="s">
        <v>83</v>
      </c>
      <c r="G84" s="70"/>
      <c r="H84" s="83"/>
    </row>
    <row r="85" spans="2:8" ht="16.5" customHeight="1" x14ac:dyDescent="0.3">
      <c r="B85" s="55"/>
      <c r="C85" s="55" t="s">
        <v>161</v>
      </c>
      <c r="D85" s="139">
        <f>1/D84</f>
        <v>11.512027187027496</v>
      </c>
      <c r="E85" s="95"/>
      <c r="F85" s="53"/>
      <c r="G85" s="87"/>
      <c r="H85" s="88"/>
    </row>
    <row r="88" spans="2:8" ht="19.5" customHeight="1" x14ac:dyDescent="0.3"/>
    <row r="104" ht="20.25" customHeight="1" x14ac:dyDescent="0.3"/>
  </sheetData>
  <sheetProtection password="BDDF" sheet="1" objects="1" scenarios="1"/>
  <mergeCells count="1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3 F68 F84">
      <formula1>UCalcMethod</formula1>
    </dataValidation>
  </dataValidations>
  <pageMargins left="0.7" right="0.7" top="0.75" bottom="0.75" header="0.3" footer="0.3"/>
  <pageSetup scale="34" fitToHeight="0" orientation="portrait" r:id="rId1"/>
  <rowBreaks count="1" manualBreakCount="1">
    <brk id="5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18"/>
  <sheetViews>
    <sheetView zoomScale="130" zoomScaleNormal="130" workbookViewId="0">
      <selection activeCell="B30" sqref="B30"/>
    </sheetView>
  </sheetViews>
  <sheetFormatPr defaultColWidth="9.140625" defaultRowHeight="12.75" x14ac:dyDescent="0.2"/>
  <cols>
    <col min="1" max="1" width="6.140625" style="162" customWidth="1"/>
    <col min="2" max="2" width="51" style="162" customWidth="1"/>
    <col min="3" max="3" width="25" style="162" customWidth="1"/>
    <col min="4" max="4" width="35" style="162" customWidth="1"/>
    <col min="5" max="5" width="13.7109375" style="162" customWidth="1"/>
    <col min="6" max="6" width="14.7109375" style="162" customWidth="1"/>
    <col min="7" max="7" width="11.85546875" style="162" customWidth="1"/>
    <col min="8" max="16384" width="9.140625" style="162"/>
  </cols>
  <sheetData>
    <row r="2" spans="1:7" x14ac:dyDescent="0.2">
      <c r="B2" s="163" t="s">
        <v>279</v>
      </c>
    </row>
    <row r="3" spans="1:7" ht="13.15" x14ac:dyDescent="0.25">
      <c r="B3" s="163" t="s">
        <v>282</v>
      </c>
      <c r="C3" s="163"/>
    </row>
    <row r="4" spans="1:7" ht="14.45" x14ac:dyDescent="0.3">
      <c r="B4" s="4" t="s">
        <v>101</v>
      </c>
    </row>
    <row r="5" spans="1:7" ht="15" customHeight="1" x14ac:dyDescent="0.25">
      <c r="B5" s="163"/>
    </row>
    <row r="6" spans="1:7" ht="47.25" customHeight="1" thickBot="1" x14ac:dyDescent="0.3">
      <c r="B6" s="420" t="s">
        <v>191</v>
      </c>
      <c r="C6" s="421" t="s">
        <v>192</v>
      </c>
      <c r="D6" s="437" t="s">
        <v>403</v>
      </c>
      <c r="E6" s="422" t="s">
        <v>209</v>
      </c>
      <c r="F6" s="423" t="s">
        <v>210</v>
      </c>
      <c r="G6" s="423" t="s">
        <v>218</v>
      </c>
    </row>
    <row r="7" spans="1:7" ht="14.25" customHeight="1" thickTop="1" x14ac:dyDescent="0.25">
      <c r="B7" s="417" t="s">
        <v>194</v>
      </c>
      <c r="C7" s="417" t="s">
        <v>245</v>
      </c>
      <c r="D7" s="417" t="s">
        <v>195</v>
      </c>
      <c r="E7" s="418"/>
      <c r="F7" s="419"/>
      <c r="G7" s="419">
        <v>2000</v>
      </c>
    </row>
    <row r="8" spans="1:7" ht="14.25" customHeight="1" x14ac:dyDescent="0.25">
      <c r="A8" s="166"/>
      <c r="B8" s="159" t="s">
        <v>0</v>
      </c>
      <c r="C8" s="159" t="s">
        <v>196</v>
      </c>
      <c r="D8" s="159" t="s">
        <v>197</v>
      </c>
      <c r="E8" s="98"/>
      <c r="F8" s="160"/>
      <c r="G8" s="160"/>
    </row>
    <row r="9" spans="1:7" ht="14.25" customHeight="1" x14ac:dyDescent="0.2">
      <c r="A9" s="166"/>
      <c r="B9" s="159" t="s">
        <v>1</v>
      </c>
      <c r="C9" s="159" t="s">
        <v>246</v>
      </c>
      <c r="D9" s="159" t="s">
        <v>297</v>
      </c>
      <c r="E9" s="98"/>
      <c r="F9" s="160">
        <v>0.75</v>
      </c>
      <c r="G9" s="160"/>
    </row>
    <row r="10" spans="1:7" ht="14.25" customHeight="1" x14ac:dyDescent="0.2">
      <c r="A10" s="166"/>
      <c r="B10" s="159" t="s">
        <v>247</v>
      </c>
      <c r="C10" s="159" t="s">
        <v>245</v>
      </c>
      <c r="D10" s="159" t="s">
        <v>260</v>
      </c>
      <c r="E10" s="247">
        <v>38</v>
      </c>
      <c r="F10" s="160"/>
      <c r="G10" s="220">
        <v>2000</v>
      </c>
    </row>
    <row r="11" spans="1:7" ht="14.25" customHeight="1" x14ac:dyDescent="0.25">
      <c r="A11" s="166"/>
      <c r="B11" s="159" t="s">
        <v>2</v>
      </c>
      <c r="C11" s="159" t="s">
        <v>248</v>
      </c>
      <c r="D11" s="159" t="s">
        <v>299</v>
      </c>
      <c r="E11" s="98">
        <v>0.75</v>
      </c>
      <c r="F11" s="160">
        <v>0.25</v>
      </c>
      <c r="G11" s="160">
        <v>10</v>
      </c>
    </row>
    <row r="12" spans="1:7" ht="14.25" customHeight="1" x14ac:dyDescent="0.2">
      <c r="A12" s="166"/>
      <c r="B12" s="159" t="s">
        <v>280</v>
      </c>
      <c r="C12" s="159" t="s">
        <v>198</v>
      </c>
      <c r="D12" s="159" t="s">
        <v>292</v>
      </c>
      <c r="E12" s="253">
        <v>4</v>
      </c>
      <c r="F12" s="155"/>
      <c r="G12" s="156">
        <f>50*10</f>
        <v>500</v>
      </c>
    </row>
    <row r="13" spans="1:7" ht="14.25" customHeight="1" x14ac:dyDescent="0.25">
      <c r="A13" s="166"/>
      <c r="B13" s="159" t="s">
        <v>3</v>
      </c>
      <c r="C13" s="159" t="s">
        <v>249</v>
      </c>
      <c r="D13" s="159" t="s">
        <v>77</v>
      </c>
      <c r="E13" s="98">
        <v>0.65</v>
      </c>
      <c r="F13" s="220">
        <v>0</v>
      </c>
      <c r="G13" s="160">
        <v>24</v>
      </c>
    </row>
    <row r="14" spans="1:7" ht="14.25" customHeight="1" x14ac:dyDescent="0.2">
      <c r="A14" s="166"/>
      <c r="B14" s="159" t="s">
        <v>4</v>
      </c>
      <c r="C14" s="159" t="s">
        <v>250</v>
      </c>
      <c r="D14" s="159" t="s">
        <v>299</v>
      </c>
      <c r="E14" s="98">
        <v>0.65</v>
      </c>
      <c r="F14" s="160">
        <v>0.25</v>
      </c>
      <c r="G14" s="160">
        <v>75</v>
      </c>
    </row>
    <row r="15" spans="1:7" ht="14.25" customHeight="1" x14ac:dyDescent="0.2">
      <c r="A15" s="166"/>
      <c r="B15" s="159" t="s">
        <v>5</v>
      </c>
      <c r="C15" s="159" t="s">
        <v>199</v>
      </c>
      <c r="D15" s="159" t="s">
        <v>271</v>
      </c>
      <c r="E15" s="245">
        <f>E12</f>
        <v>4</v>
      </c>
      <c r="F15" s="155"/>
      <c r="G15" s="157">
        <f>40*10</f>
        <v>400</v>
      </c>
    </row>
    <row r="16" spans="1:7" ht="14.25" customHeight="1" x14ac:dyDescent="0.2">
      <c r="A16" s="166"/>
      <c r="B16" s="159" t="s">
        <v>6</v>
      </c>
      <c r="C16" s="159" t="s">
        <v>250</v>
      </c>
      <c r="D16" s="159" t="s">
        <v>299</v>
      </c>
      <c r="E16" s="98">
        <v>0.65</v>
      </c>
      <c r="F16" s="158">
        <v>0.25</v>
      </c>
      <c r="G16" s="160">
        <v>75</v>
      </c>
    </row>
    <row r="17" spans="1:7" ht="14.25" customHeight="1" x14ac:dyDescent="0.2">
      <c r="A17" s="166"/>
      <c r="B17" s="159" t="s">
        <v>7</v>
      </c>
      <c r="C17" s="159" t="s">
        <v>199</v>
      </c>
      <c r="D17" s="159" t="s">
        <v>292</v>
      </c>
      <c r="E17" s="245">
        <f>E12</f>
        <v>4</v>
      </c>
      <c r="F17" s="155"/>
      <c r="G17" s="157">
        <f>40*10</f>
        <v>400</v>
      </c>
    </row>
    <row r="18" spans="1:7" ht="14.25" customHeight="1" x14ac:dyDescent="0.2">
      <c r="A18" s="166"/>
      <c r="B18" s="159" t="s">
        <v>8</v>
      </c>
      <c r="C18" s="159" t="s">
        <v>251</v>
      </c>
      <c r="D18" s="159" t="s">
        <v>299</v>
      </c>
      <c r="E18" s="98">
        <v>0.65</v>
      </c>
      <c r="F18" s="158">
        <v>0.25</v>
      </c>
      <c r="G18" s="160">
        <v>15</v>
      </c>
    </row>
    <row r="19" spans="1:7" ht="14.25" customHeight="1" x14ac:dyDescent="0.2">
      <c r="A19" s="166"/>
      <c r="B19" s="159" t="s">
        <v>281</v>
      </c>
      <c r="C19" s="159" t="s">
        <v>200</v>
      </c>
      <c r="D19" s="159" t="s">
        <v>296</v>
      </c>
      <c r="E19" s="244">
        <v>13</v>
      </c>
      <c r="F19" s="160"/>
      <c r="G19" s="160">
        <f>10*10</f>
        <v>100</v>
      </c>
    </row>
    <row r="20" spans="1:7" ht="14.25" customHeight="1" x14ac:dyDescent="0.2">
      <c r="A20" s="166"/>
      <c r="B20" s="159" t="s">
        <v>9</v>
      </c>
      <c r="C20" s="159" t="s">
        <v>252</v>
      </c>
      <c r="D20" s="159" t="s">
        <v>299</v>
      </c>
      <c r="E20" s="98">
        <v>0.65</v>
      </c>
      <c r="F20" s="158">
        <v>0.25</v>
      </c>
      <c r="G20" s="160">
        <v>60</v>
      </c>
    </row>
    <row r="21" spans="1:7" ht="14.25" customHeight="1" x14ac:dyDescent="0.2">
      <c r="A21" s="166"/>
      <c r="B21" s="159" t="s">
        <v>10</v>
      </c>
      <c r="C21" s="159" t="s">
        <v>199</v>
      </c>
      <c r="D21" s="159" t="s">
        <v>292</v>
      </c>
      <c r="E21" s="245">
        <f>E12</f>
        <v>4</v>
      </c>
      <c r="F21" s="155"/>
      <c r="G21" s="157">
        <f>40*10</f>
        <v>400</v>
      </c>
    </row>
    <row r="22" spans="1:7" ht="14.25" customHeight="1" x14ac:dyDescent="0.2">
      <c r="A22" s="166"/>
      <c r="B22" s="159" t="s">
        <v>11</v>
      </c>
      <c r="C22" s="159" t="s">
        <v>250</v>
      </c>
      <c r="D22" s="159" t="s">
        <v>299</v>
      </c>
      <c r="E22" s="98">
        <v>0.65</v>
      </c>
      <c r="F22" s="158">
        <v>0.25</v>
      </c>
      <c r="G22" s="160">
        <v>75</v>
      </c>
    </row>
    <row r="23" spans="1:7" ht="14.25" customHeight="1" x14ac:dyDescent="0.25">
      <c r="A23" s="166"/>
      <c r="B23" s="159" t="s">
        <v>12</v>
      </c>
      <c r="C23" s="159" t="s">
        <v>288</v>
      </c>
      <c r="D23" s="159" t="s">
        <v>293</v>
      </c>
      <c r="E23" s="244">
        <v>5</v>
      </c>
      <c r="F23" s="160"/>
      <c r="G23" s="160"/>
    </row>
    <row r="24" spans="1:7" ht="14.25" customHeight="1" x14ac:dyDescent="0.2">
      <c r="A24" s="166"/>
      <c r="B24" s="159" t="s">
        <v>13</v>
      </c>
      <c r="C24" s="159" t="s">
        <v>201</v>
      </c>
      <c r="D24" s="159" t="s">
        <v>294</v>
      </c>
      <c r="E24" s="98">
        <v>8.1999999999999993</v>
      </c>
      <c r="F24" s="160"/>
      <c r="G24" s="160"/>
    </row>
    <row r="25" spans="1:7" ht="14.25" customHeight="1" x14ac:dyDescent="0.2">
      <c r="A25" s="166"/>
      <c r="B25" s="159" t="s">
        <v>14</v>
      </c>
      <c r="C25" s="159" t="s">
        <v>201</v>
      </c>
      <c r="D25" s="159" t="s">
        <v>295</v>
      </c>
      <c r="E25" s="244">
        <v>14</v>
      </c>
      <c r="F25" s="160"/>
      <c r="G25" s="160"/>
    </row>
    <row r="26" spans="1:7" ht="14.25" customHeight="1" x14ac:dyDescent="0.2">
      <c r="A26" s="166"/>
      <c r="B26" s="159" t="s">
        <v>15</v>
      </c>
      <c r="C26" s="159" t="s">
        <v>202</v>
      </c>
      <c r="D26" s="159" t="s">
        <v>418</v>
      </c>
      <c r="E26" s="253">
        <v>8</v>
      </c>
      <c r="F26" s="155"/>
      <c r="G26" s="155"/>
    </row>
    <row r="27" spans="1:7" ht="14.25" customHeight="1" x14ac:dyDescent="0.2">
      <c r="A27" s="166"/>
      <c r="B27" s="159" t="s">
        <v>283</v>
      </c>
      <c r="C27" s="159" t="s">
        <v>203</v>
      </c>
      <c r="D27" s="159" t="s">
        <v>418</v>
      </c>
      <c r="E27" s="244">
        <v>6</v>
      </c>
      <c r="F27" s="160"/>
      <c r="G27" s="160"/>
    </row>
    <row r="28" spans="1:7" ht="15.75" customHeight="1" x14ac:dyDescent="0.25">
      <c r="A28" s="166"/>
      <c r="B28" s="159" t="s">
        <v>17</v>
      </c>
      <c r="C28" s="159"/>
      <c r="D28" s="159" t="s">
        <v>289</v>
      </c>
      <c r="E28" s="98">
        <v>0.04</v>
      </c>
      <c r="F28" s="160"/>
      <c r="G28" s="160"/>
    </row>
    <row r="29" spans="1:7" ht="14.25" customHeight="1" x14ac:dyDescent="0.2">
      <c r="A29" s="166"/>
      <c r="B29" s="159" t="s">
        <v>284</v>
      </c>
      <c r="C29" s="159" t="s">
        <v>201</v>
      </c>
      <c r="D29" s="159" t="s">
        <v>301</v>
      </c>
      <c r="E29" s="255">
        <v>0.02</v>
      </c>
      <c r="F29" s="160"/>
      <c r="G29" s="160"/>
    </row>
    <row r="30" spans="1:7" ht="14.25" customHeight="1" x14ac:dyDescent="0.25">
      <c r="A30" s="166"/>
      <c r="B30" s="159" t="s">
        <v>19</v>
      </c>
      <c r="C30" s="159" t="s">
        <v>204</v>
      </c>
      <c r="D30" s="159" t="s">
        <v>205</v>
      </c>
      <c r="E30" s="98" t="s">
        <v>205</v>
      </c>
      <c r="F30" s="160"/>
      <c r="G30" s="160"/>
    </row>
    <row r="31" spans="1:7" ht="14.25" customHeight="1" x14ac:dyDescent="0.25">
      <c r="A31" s="166"/>
      <c r="B31" s="159" t="s">
        <v>20</v>
      </c>
      <c r="C31" s="159" t="s">
        <v>206</v>
      </c>
      <c r="D31" s="159" t="s">
        <v>290</v>
      </c>
      <c r="E31" s="98">
        <v>0.95</v>
      </c>
      <c r="F31" s="160"/>
      <c r="G31" s="160"/>
    </row>
    <row r="32" spans="1:7" ht="14.25" customHeight="1" x14ac:dyDescent="0.25">
      <c r="A32" s="166"/>
      <c r="B32" s="159" t="s">
        <v>21</v>
      </c>
      <c r="C32" s="159" t="s">
        <v>207</v>
      </c>
      <c r="D32" s="159" t="s">
        <v>291</v>
      </c>
      <c r="E32" s="98">
        <v>3</v>
      </c>
      <c r="F32" s="160"/>
      <c r="G32" s="160"/>
    </row>
    <row r="33" spans="1:7" ht="14.25" customHeight="1" x14ac:dyDescent="0.25">
      <c r="A33" s="166"/>
      <c r="B33" s="159" t="s">
        <v>22</v>
      </c>
      <c r="C33" s="159" t="s">
        <v>195</v>
      </c>
      <c r="D33" s="159" t="s">
        <v>195</v>
      </c>
      <c r="E33" s="98" t="s">
        <v>205</v>
      </c>
      <c r="F33" s="160"/>
      <c r="G33" s="160"/>
    </row>
    <row r="34" spans="1:7" ht="14.25" customHeight="1" x14ac:dyDescent="0.25">
      <c r="A34" s="166"/>
      <c r="B34" s="159" t="s">
        <v>23</v>
      </c>
      <c r="C34" s="159" t="s">
        <v>208</v>
      </c>
      <c r="D34" s="159" t="s">
        <v>298</v>
      </c>
      <c r="E34" s="254">
        <f>75/100</f>
        <v>0.75</v>
      </c>
      <c r="F34" s="160"/>
      <c r="G34" s="160"/>
    </row>
    <row r="35" spans="1:7" ht="14.25" customHeight="1" thickBot="1" x14ac:dyDescent="0.3">
      <c r="A35" s="166"/>
      <c r="B35" s="416" t="s">
        <v>24</v>
      </c>
      <c r="C35" s="416" t="s">
        <v>195</v>
      </c>
      <c r="D35" s="416" t="s">
        <v>195</v>
      </c>
      <c r="E35" s="434" t="s">
        <v>205</v>
      </c>
      <c r="F35" s="434"/>
      <c r="G35" s="434"/>
    </row>
    <row r="36" spans="1:7" ht="14.25" customHeight="1" thickTop="1" x14ac:dyDescent="0.25">
      <c r="A36" s="166"/>
      <c r="B36" s="161"/>
      <c r="C36" s="161"/>
      <c r="D36" s="161"/>
      <c r="E36" s="129"/>
      <c r="F36" s="129"/>
      <c r="G36" s="129"/>
    </row>
    <row r="37" spans="1:7" ht="14.25" customHeight="1" thickBot="1" x14ac:dyDescent="0.3">
      <c r="A37" s="166" t="s">
        <v>242</v>
      </c>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row r="47" spans="1:7" ht="13.5" customHeight="1" x14ac:dyDescent="0.25"/>
    <row r="48" spans="1:7" ht="24" customHeight="1" x14ac:dyDescent="0.2">
      <c r="B48" s="485" t="s">
        <v>275</v>
      </c>
      <c r="C48" s="485"/>
      <c r="D48" s="485"/>
    </row>
    <row r="49" spans="1:6" ht="21" customHeight="1" x14ac:dyDescent="0.25">
      <c r="B49" s="133" t="s">
        <v>219</v>
      </c>
      <c r="F49" s="246"/>
    </row>
    <row r="50" spans="1:6" ht="14.25" customHeight="1" x14ac:dyDescent="0.25">
      <c r="B50" s="96" t="s">
        <v>217</v>
      </c>
      <c r="C50" s="167">
        <v>7.0000000000000007E-2</v>
      </c>
      <c r="D50" s="168" t="s">
        <v>257</v>
      </c>
    </row>
    <row r="51" spans="1:6" ht="15" customHeight="1" x14ac:dyDescent="0.25"/>
    <row r="52" spans="1:6" ht="15" customHeight="1" x14ac:dyDescent="0.25">
      <c r="B52" s="96" t="s">
        <v>211</v>
      </c>
      <c r="C52" s="160" t="s">
        <v>212</v>
      </c>
      <c r="D52" s="167" t="s">
        <v>149</v>
      </c>
    </row>
    <row r="53" spans="1:6" ht="14.25" customHeight="1" x14ac:dyDescent="0.25">
      <c r="B53" s="131" t="s">
        <v>151</v>
      </c>
      <c r="C53" s="169">
        <v>0.61</v>
      </c>
      <c r="D53" s="170" t="s">
        <v>152</v>
      </c>
    </row>
    <row r="54" spans="1:6" ht="14.25" customHeight="1" x14ac:dyDescent="0.25">
      <c r="B54" s="131" t="str">
        <f>"Batt Insulation R"&amp;C54</f>
        <v>Batt Insulation R38</v>
      </c>
      <c r="C54" s="222">
        <f>E10</f>
        <v>38</v>
      </c>
      <c r="D54" s="131"/>
    </row>
    <row r="55" spans="1:6" ht="14.25" customHeight="1" x14ac:dyDescent="0.25">
      <c r="B55" s="131" t="s">
        <v>153</v>
      </c>
      <c r="C55" s="169">
        <v>4.38</v>
      </c>
      <c r="D55" s="131" t="s">
        <v>154</v>
      </c>
    </row>
    <row r="56" spans="1:6" ht="14.25" customHeight="1" x14ac:dyDescent="0.25">
      <c r="B56" s="131" t="s">
        <v>215</v>
      </c>
      <c r="C56" s="169">
        <v>0.45</v>
      </c>
      <c r="D56" s="131" t="s">
        <v>155</v>
      </c>
    </row>
    <row r="57" spans="1:6" ht="14.25" customHeight="1" x14ac:dyDescent="0.25">
      <c r="B57" s="132" t="s">
        <v>156</v>
      </c>
      <c r="C57" s="171">
        <v>0.92</v>
      </c>
      <c r="D57" s="132" t="s">
        <v>157</v>
      </c>
    </row>
    <row r="60" spans="1:6" ht="13.15" x14ac:dyDescent="0.25">
      <c r="B60" s="162" t="s">
        <v>242</v>
      </c>
    </row>
    <row r="61" spans="1:6" ht="13.15" x14ac:dyDescent="0.25">
      <c r="B61" s="162" t="s">
        <v>383</v>
      </c>
    </row>
    <row r="62" spans="1:6" ht="42.75" customHeight="1" x14ac:dyDescent="0.2">
      <c r="B62" s="485" t="s">
        <v>273</v>
      </c>
      <c r="C62" s="485"/>
      <c r="D62" s="485"/>
    </row>
    <row r="63" spans="1:6" ht="27.75" customHeight="1" x14ac:dyDescent="0.25">
      <c r="A63" s="172"/>
      <c r="B63" s="96" t="s">
        <v>211</v>
      </c>
      <c r="C63" s="160" t="s">
        <v>212</v>
      </c>
      <c r="D63" s="173" t="s">
        <v>149</v>
      </c>
      <c r="E63" s="172"/>
      <c r="F63" s="172"/>
    </row>
    <row r="64" spans="1:6" ht="14.25" customHeight="1" x14ac:dyDescent="0.25">
      <c r="A64" s="169"/>
      <c r="B64" s="130" t="s">
        <v>162</v>
      </c>
      <c r="C64" s="173">
        <v>0.25</v>
      </c>
      <c r="D64" s="174" t="s">
        <v>157</v>
      </c>
      <c r="E64" s="172"/>
      <c r="F64" s="172"/>
    </row>
    <row r="65" spans="1:6" ht="14.25" customHeight="1" x14ac:dyDescent="0.2">
      <c r="A65" s="169"/>
      <c r="B65" s="131" t="s">
        <v>221</v>
      </c>
      <c r="C65" s="175">
        <f>0.8/9.7</f>
        <v>8.2474226804123724E-2</v>
      </c>
      <c r="D65" s="131" t="s">
        <v>163</v>
      </c>
      <c r="E65" s="172"/>
      <c r="F65" s="172"/>
    </row>
    <row r="66" spans="1:6" ht="14.25" customHeight="1" x14ac:dyDescent="0.25">
      <c r="A66" s="169"/>
      <c r="B66" s="131" t="s">
        <v>276</v>
      </c>
      <c r="C66" s="176">
        <v>0</v>
      </c>
      <c r="D66" s="131"/>
      <c r="E66" s="172"/>
      <c r="F66" s="172"/>
    </row>
    <row r="67" spans="1:6" ht="14.25" customHeight="1" x14ac:dyDescent="0.25">
      <c r="A67" s="169"/>
      <c r="B67" s="131" t="s">
        <v>213</v>
      </c>
      <c r="C67" s="177">
        <f>C106</f>
        <v>1.0140947636940258</v>
      </c>
      <c r="D67" s="131" t="s">
        <v>165</v>
      </c>
      <c r="E67" s="172"/>
      <c r="F67" s="172"/>
    </row>
    <row r="68" spans="1:6" ht="14.25" customHeight="1" x14ac:dyDescent="0.25">
      <c r="A68" s="169"/>
      <c r="B68" s="131" t="str">
        <f>"0.75 Inch"&amp;" R"&amp;C68&amp;" "&amp;"Insulation Board"</f>
        <v>0.75 Inch R4 Insulation Board</v>
      </c>
      <c r="C68" s="177">
        <f>E12</f>
        <v>4</v>
      </c>
      <c r="D68" s="131"/>
      <c r="E68" s="172"/>
      <c r="F68" s="172"/>
    </row>
    <row r="69" spans="1:6" ht="14.25" customHeight="1" x14ac:dyDescent="0.25">
      <c r="A69" s="169"/>
      <c r="B69" s="131" t="s">
        <v>214</v>
      </c>
      <c r="C69" s="178">
        <v>1.22</v>
      </c>
      <c r="D69" s="131" t="s">
        <v>166</v>
      </c>
      <c r="E69" s="172"/>
      <c r="F69" s="172"/>
    </row>
    <row r="70" spans="1:6" ht="14.25" customHeight="1" x14ac:dyDescent="0.25">
      <c r="A70" s="169"/>
      <c r="B70" s="131" t="s">
        <v>215</v>
      </c>
      <c r="C70" s="178">
        <v>0.45</v>
      </c>
      <c r="D70" s="131" t="s">
        <v>155</v>
      </c>
      <c r="E70" s="172"/>
    </row>
    <row r="71" spans="1:6" ht="14.25" customHeight="1" x14ac:dyDescent="0.25">
      <c r="A71" s="169"/>
      <c r="B71" s="132" t="s">
        <v>167</v>
      </c>
      <c r="C71" s="179">
        <v>0.68</v>
      </c>
      <c r="D71" s="132" t="s">
        <v>157</v>
      </c>
      <c r="E71" s="172"/>
      <c r="F71" s="172"/>
    </row>
    <row r="72" spans="1:6" ht="13.5" customHeight="1" x14ac:dyDescent="0.25"/>
    <row r="73" spans="1:6" ht="13.5" customHeight="1" x14ac:dyDescent="0.25"/>
    <row r="74" spans="1:6" ht="13.5" customHeight="1" x14ac:dyDescent="0.25">
      <c r="A74" s="162" t="s">
        <v>242</v>
      </c>
    </row>
    <row r="75" spans="1:6" ht="36.75" customHeight="1" x14ac:dyDescent="0.2">
      <c r="B75" s="485" t="s">
        <v>274</v>
      </c>
      <c r="C75" s="485"/>
      <c r="D75" s="485"/>
      <c r="E75" s="180"/>
    </row>
    <row r="76" spans="1:6" ht="16.5" customHeight="1" x14ac:dyDescent="0.25">
      <c r="A76" s="180"/>
      <c r="B76" s="96" t="s">
        <v>222</v>
      </c>
      <c r="C76" s="99">
        <f>0.25</f>
        <v>0.25</v>
      </c>
      <c r="D76" s="160"/>
      <c r="E76" s="180"/>
    </row>
    <row r="77" spans="1:6" ht="13.5" customHeight="1" x14ac:dyDescent="0.25">
      <c r="A77" s="172"/>
      <c r="E77" s="129"/>
    </row>
    <row r="78" spans="1:6" ht="16.5" customHeight="1" x14ac:dyDescent="0.25">
      <c r="B78" s="133" t="s">
        <v>220</v>
      </c>
      <c r="E78" s="181"/>
    </row>
    <row r="79" spans="1:6" ht="16.5" customHeight="1" x14ac:dyDescent="0.25">
      <c r="B79" s="96" t="s">
        <v>211</v>
      </c>
      <c r="C79" s="160" t="s">
        <v>212</v>
      </c>
      <c r="D79" s="167" t="s">
        <v>149</v>
      </c>
      <c r="E79" s="181"/>
    </row>
    <row r="80" spans="1:6" ht="15.75" customHeight="1" x14ac:dyDescent="0.25">
      <c r="A80" s="169"/>
      <c r="B80" s="130" t="s">
        <v>162</v>
      </c>
      <c r="C80" s="182">
        <v>0.25</v>
      </c>
      <c r="D80" s="174" t="s">
        <v>157</v>
      </c>
      <c r="E80" s="183"/>
    </row>
    <row r="81" spans="1:7" ht="15.75" customHeight="1" x14ac:dyDescent="0.2">
      <c r="A81" s="169"/>
      <c r="B81" s="131" t="s">
        <v>221</v>
      </c>
      <c r="C81" s="175">
        <f>0.8/9.7</f>
        <v>8.2474226804123724E-2</v>
      </c>
      <c r="D81" s="184" t="s">
        <v>163</v>
      </c>
      <c r="E81" s="183"/>
    </row>
    <row r="82" spans="1:7" ht="15.75" customHeight="1" x14ac:dyDescent="0.2">
      <c r="A82" s="169"/>
      <c r="B82" s="131" t="s">
        <v>277</v>
      </c>
      <c r="C82" s="183">
        <v>0.79</v>
      </c>
      <c r="D82" s="185" t="s">
        <v>155</v>
      </c>
      <c r="E82" s="186"/>
    </row>
    <row r="83" spans="1:7" ht="15.75" customHeight="1" x14ac:dyDescent="0.2">
      <c r="A83" s="169"/>
      <c r="B83" s="131" t="s">
        <v>153</v>
      </c>
      <c r="C83" s="183">
        <v>4.38</v>
      </c>
      <c r="D83" s="185" t="s">
        <v>154</v>
      </c>
      <c r="E83" s="169"/>
    </row>
    <row r="84" spans="1:7" ht="15.75" customHeight="1" x14ac:dyDescent="0.2">
      <c r="A84" s="169"/>
      <c r="B84" s="131" t="str">
        <f>"Fiber Glass Batt Insulation"&amp;" R"&amp;C84</f>
        <v>Fiber Glass Batt Insulation R13</v>
      </c>
      <c r="C84" s="221">
        <f>E19</f>
        <v>13</v>
      </c>
      <c r="D84" s="187"/>
      <c r="E84" s="169"/>
    </row>
    <row r="85" spans="1:7" ht="15.75" customHeight="1" x14ac:dyDescent="0.2">
      <c r="A85" s="169"/>
      <c r="B85" s="131" t="s">
        <v>215</v>
      </c>
      <c r="C85" s="169">
        <v>0.45</v>
      </c>
      <c r="D85" s="170" t="s">
        <v>155</v>
      </c>
    </row>
    <row r="86" spans="1:7" ht="15.75" customHeight="1" x14ac:dyDescent="0.2">
      <c r="A86" s="169"/>
      <c r="B86" s="132" t="s">
        <v>167</v>
      </c>
      <c r="C86" s="171">
        <v>0.68</v>
      </c>
      <c r="D86" s="188" t="s">
        <v>157</v>
      </c>
    </row>
    <row r="87" spans="1:7" ht="14.25" customHeight="1" x14ac:dyDescent="0.2"/>
    <row r="88" spans="1:7" ht="14.25" customHeight="1" x14ac:dyDescent="0.2"/>
    <row r="89" spans="1:7" ht="14.25" customHeight="1" x14ac:dyDescent="0.2"/>
    <row r="90" spans="1:7" ht="14.25" customHeight="1" x14ac:dyDescent="0.2"/>
    <row r="91" spans="1:7" ht="16.5" customHeight="1" x14ac:dyDescent="0.2">
      <c r="A91" s="172"/>
      <c r="B91" s="168" t="s">
        <v>223</v>
      </c>
      <c r="C91" s="189"/>
      <c r="D91" s="130"/>
      <c r="E91" s="172"/>
      <c r="F91" s="172"/>
      <c r="G91" s="172"/>
    </row>
    <row r="92" spans="1:7" ht="16.5" customHeight="1" x14ac:dyDescent="0.2">
      <c r="A92" s="172"/>
      <c r="B92" s="96" t="s">
        <v>258</v>
      </c>
      <c r="C92" s="190" t="s">
        <v>171</v>
      </c>
      <c r="D92" s="167" t="s">
        <v>172</v>
      </c>
      <c r="E92" s="169"/>
      <c r="F92" s="172"/>
      <c r="G92" s="172"/>
    </row>
    <row r="93" spans="1:7" ht="15.75" customHeight="1" x14ac:dyDescent="0.2">
      <c r="A93" s="172"/>
      <c r="B93" s="191" t="s">
        <v>173</v>
      </c>
      <c r="C93" s="192">
        <v>7.625</v>
      </c>
      <c r="D93" s="173" t="s">
        <v>174</v>
      </c>
      <c r="E93" s="172"/>
      <c r="F93" s="172"/>
      <c r="G93" s="172"/>
    </row>
    <row r="94" spans="1:7" ht="15.75" customHeight="1" x14ac:dyDescent="0.2">
      <c r="A94" s="172"/>
      <c r="B94" s="193" t="s">
        <v>175</v>
      </c>
      <c r="C94" s="194">
        <v>7.625</v>
      </c>
      <c r="D94" s="178" t="s">
        <v>174</v>
      </c>
      <c r="E94" s="172"/>
      <c r="F94" s="172"/>
      <c r="G94" s="172"/>
    </row>
    <row r="95" spans="1:7" ht="15.75" customHeight="1" x14ac:dyDescent="0.2">
      <c r="A95" s="172"/>
      <c r="B95" s="193" t="s">
        <v>176</v>
      </c>
      <c r="C95" s="195">
        <v>15.625</v>
      </c>
      <c r="D95" s="178" t="s">
        <v>174</v>
      </c>
      <c r="E95" s="172"/>
      <c r="F95" s="172"/>
      <c r="G95" s="172"/>
    </row>
    <row r="96" spans="1:7" ht="15.75" customHeight="1" x14ac:dyDescent="0.2">
      <c r="A96" s="172"/>
      <c r="B96" s="193" t="s">
        <v>177</v>
      </c>
      <c r="C96" s="196">
        <v>1</v>
      </c>
      <c r="D96" s="178" t="s">
        <v>174</v>
      </c>
      <c r="E96" s="172"/>
      <c r="F96" s="172"/>
      <c r="G96" s="172"/>
    </row>
    <row r="97" spans="1:7" ht="15.75" customHeight="1" x14ac:dyDescent="0.2">
      <c r="A97" s="172"/>
      <c r="B97" s="193" t="s">
        <v>178</v>
      </c>
      <c r="C97" s="195">
        <v>1.25</v>
      </c>
      <c r="D97" s="178" t="s">
        <v>174</v>
      </c>
      <c r="E97" s="172"/>
      <c r="F97" s="172"/>
      <c r="G97" s="172"/>
    </row>
    <row r="98" spans="1:7" ht="15.75" customHeight="1" x14ac:dyDescent="0.2">
      <c r="A98" s="172"/>
      <c r="B98" s="193" t="s">
        <v>179</v>
      </c>
      <c r="C98" s="197">
        <v>0.1</v>
      </c>
      <c r="D98" s="178" t="s">
        <v>188</v>
      </c>
      <c r="E98" s="172"/>
      <c r="F98" s="172"/>
      <c r="G98" s="172"/>
    </row>
    <row r="99" spans="1:7" ht="15.75" customHeight="1" x14ac:dyDescent="0.2">
      <c r="A99" s="172"/>
      <c r="B99" s="193" t="s">
        <v>265</v>
      </c>
      <c r="C99" s="194">
        <v>0.86499999999999999</v>
      </c>
      <c r="D99" s="178" t="s">
        <v>188</v>
      </c>
      <c r="E99" s="172"/>
      <c r="F99" s="172"/>
      <c r="G99" s="172"/>
    </row>
    <row r="100" spans="1:7" ht="13.5" customHeight="1" x14ac:dyDescent="0.2">
      <c r="A100" s="172"/>
      <c r="B100" s="193"/>
      <c r="C100" s="195"/>
      <c r="D100" s="178"/>
      <c r="E100" s="172"/>
      <c r="F100" s="172"/>
      <c r="G100" s="172"/>
    </row>
    <row r="101" spans="1:7" ht="15.75" customHeight="1" x14ac:dyDescent="0.2">
      <c r="A101" s="172"/>
      <c r="B101" s="193" t="s">
        <v>181</v>
      </c>
      <c r="C101" s="198">
        <f>2*C97*C98</f>
        <v>0.25</v>
      </c>
      <c r="D101" s="178" t="s">
        <v>188</v>
      </c>
      <c r="E101" s="172"/>
      <c r="F101" s="172"/>
      <c r="G101" s="172"/>
    </row>
    <row r="102" spans="1:7" ht="15.75" customHeight="1" x14ac:dyDescent="0.2">
      <c r="A102" s="172"/>
      <c r="B102" s="193" t="s">
        <v>182</v>
      </c>
      <c r="C102" s="198">
        <f>(C93-2*C97)*C98</f>
        <v>0.51250000000000007</v>
      </c>
      <c r="D102" s="178" t="s">
        <v>188</v>
      </c>
      <c r="E102" s="172"/>
      <c r="F102" s="172"/>
      <c r="G102" s="172"/>
    </row>
    <row r="103" spans="1:7" ht="15.75" customHeight="1" x14ac:dyDescent="0.2">
      <c r="A103" s="172"/>
      <c r="B103" s="193" t="s">
        <v>266</v>
      </c>
      <c r="C103" s="243">
        <f>C99</f>
        <v>0.86499999999999999</v>
      </c>
      <c r="D103" s="178" t="s">
        <v>188</v>
      </c>
      <c r="E103" s="172"/>
      <c r="F103" s="172"/>
      <c r="G103" s="172"/>
    </row>
    <row r="104" spans="1:7" ht="15.75" customHeight="1" x14ac:dyDescent="0.2">
      <c r="A104" s="172"/>
      <c r="B104" s="193" t="s">
        <v>184</v>
      </c>
      <c r="C104" s="198">
        <f>3*C96/C95</f>
        <v>0.192</v>
      </c>
      <c r="D104" s="178" t="s">
        <v>185</v>
      </c>
      <c r="E104" s="172"/>
      <c r="F104" s="172"/>
      <c r="G104" s="172"/>
    </row>
    <row r="105" spans="1:7" ht="15.75" customHeight="1" x14ac:dyDescent="0.2">
      <c r="A105" s="172"/>
      <c r="B105" s="199" t="s">
        <v>186</v>
      </c>
      <c r="C105" s="200">
        <f>(C95-3*C96)/C95</f>
        <v>0.80800000000000005</v>
      </c>
      <c r="D105" s="178" t="s">
        <v>185</v>
      </c>
      <c r="E105" s="172"/>
      <c r="F105" s="172"/>
      <c r="G105" s="172"/>
    </row>
    <row r="106" spans="1:7" ht="16.5" customHeight="1" x14ac:dyDescent="0.2">
      <c r="A106" s="172"/>
      <c r="B106" s="201" t="s">
        <v>187</v>
      </c>
      <c r="C106" s="449">
        <f>C101+1/(C104/C102+C105/C103)</f>
        <v>1.0140947636940258</v>
      </c>
      <c r="D106" s="167" t="s">
        <v>188</v>
      </c>
      <c r="E106" s="172"/>
      <c r="F106" s="172"/>
      <c r="G106" s="172"/>
    </row>
    <row r="108" spans="1:7" x14ac:dyDescent="0.2">
      <c r="B108" s="202"/>
    </row>
    <row r="109" spans="1:7" ht="15" customHeight="1" x14ac:dyDescent="0.2">
      <c r="B109" s="202" t="s">
        <v>189</v>
      </c>
    </row>
    <row r="110" spans="1:7" ht="34.5" customHeight="1" x14ac:dyDescent="0.2">
      <c r="B110" s="481" t="s">
        <v>190</v>
      </c>
      <c r="C110" s="481"/>
      <c r="D110" s="481"/>
    </row>
    <row r="114" spans="1:3" x14ac:dyDescent="0.2">
      <c r="C114" s="202"/>
    </row>
    <row r="115" spans="1:3" x14ac:dyDescent="0.2">
      <c r="A115" s="166"/>
    </row>
    <row r="116" spans="1:3" x14ac:dyDescent="0.2">
      <c r="A116" s="166"/>
    </row>
    <row r="117" spans="1:3" x14ac:dyDescent="0.2">
      <c r="A117" s="166"/>
    </row>
    <row r="118" spans="1:3" x14ac:dyDescent="0.2">
      <c r="A118" s="166"/>
    </row>
  </sheetData>
  <sheetProtection password="BDDF" sheet="1" objects="1" scenarios="1"/>
  <mergeCells count="4">
    <mergeCell ref="B75:D75"/>
    <mergeCell ref="B110:D110"/>
    <mergeCell ref="B62:D62"/>
    <mergeCell ref="B48:D48"/>
  </mergeCells>
  <pageMargins left="0.7" right="0.7" top="0.75" bottom="0.75" header="0.3" footer="0.3"/>
  <pageSetup scale="55" orientation="portrait" r:id="rId1"/>
  <rowBreaks count="1" manualBreakCount="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85" zoomScaleNormal="85" workbookViewId="0">
      <selection activeCell="I112" sqref="I112"/>
    </sheetView>
  </sheetViews>
  <sheetFormatPr defaultColWidth="9.140625" defaultRowHeight="15" x14ac:dyDescent="0.25"/>
  <cols>
    <col min="1" max="1" width="4.42578125" style="258" customWidth="1"/>
    <col min="2" max="2" width="46.7109375" style="258" customWidth="1"/>
    <col min="3" max="3" width="23.140625" style="258" customWidth="1"/>
    <col min="4" max="4" width="20.28515625" style="258" customWidth="1"/>
    <col min="5" max="5" width="21" style="258" customWidth="1"/>
    <col min="6" max="6" width="20.140625" style="258" customWidth="1"/>
    <col min="7" max="7" width="26.28515625" style="258" customWidth="1"/>
    <col min="8" max="8" width="26.28515625" style="258" hidden="1" customWidth="1"/>
    <col min="9" max="9" width="24.7109375" style="258" customWidth="1"/>
    <col min="10" max="16384" width="9.140625" style="258"/>
  </cols>
  <sheetData>
    <row r="1" spans="1:8" ht="7.5" customHeight="1" x14ac:dyDescent="0.3">
      <c r="A1" s="13"/>
      <c r="B1" s="13"/>
      <c r="C1" s="13"/>
      <c r="D1" s="13"/>
      <c r="E1" s="13"/>
      <c r="F1" s="13"/>
      <c r="G1" s="13"/>
    </row>
    <row r="3" spans="1:8" ht="34.5" customHeight="1" x14ac:dyDescent="0.3">
      <c r="B3" s="260" t="s">
        <v>25</v>
      </c>
      <c r="C3" s="260" t="s">
        <v>27</v>
      </c>
      <c r="D3" s="469" t="str">
        <f>IF(Instructions!D2="","Enter Vendor's Software Name In Instruction Sheet",Instructions!D2)</f>
        <v>Enter Vendor's Software Name In Instruction Sheet</v>
      </c>
      <c r="E3" s="469"/>
    </row>
    <row r="4" spans="1:8" ht="15" customHeight="1" x14ac:dyDescent="0.3">
      <c r="B4" s="328" t="str">
        <f>D_M02!B2</f>
        <v xml:space="preserve">Prescriptive Test: House M02 (Pr-M02) Characteristics – Location: Miami, Florida. </v>
      </c>
      <c r="C4" s="328"/>
      <c r="D4" s="328"/>
      <c r="E4" s="328"/>
    </row>
    <row r="5" spans="1:8" ht="15" customHeight="1" x14ac:dyDescent="0.3">
      <c r="B5" s="328" t="str">
        <f>D_M02!B3</f>
        <v>Single Family Detached Home with No Attached Garage, Single Story, Three bedroom.</v>
      </c>
      <c r="C5" s="328"/>
      <c r="D5" s="328"/>
      <c r="E5" s="328"/>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1" t="str">
        <f>D_M02!B4</f>
        <v>House Pr-M02</v>
      </c>
      <c r="C9" s="10" t="s">
        <v>243</v>
      </c>
      <c r="D9" s="117" t="s">
        <v>75</v>
      </c>
      <c r="E9" s="4"/>
    </row>
    <row r="10" spans="1:8" thickBot="1" x14ac:dyDescent="0.35">
      <c r="C10" s="10" t="s">
        <v>86</v>
      </c>
      <c r="D10" s="10" t="s">
        <v>29</v>
      </c>
      <c r="E10" s="4"/>
    </row>
    <row r="11" spans="1:8" thickBot="1" x14ac:dyDescent="0.35">
      <c r="B11" s="248" t="str">
        <f>D_M02!B8</f>
        <v>Raised Floor1</v>
      </c>
      <c r="C11" s="104"/>
      <c r="D11" s="106" t="str">
        <f>IF(C11="Complies","Pass","Fail")</f>
        <v>Fail</v>
      </c>
      <c r="E11" s="6"/>
      <c r="H11" s="9">
        <f t="shared" ref="H11:H23" si="0">IF(OR(D11="Not applicable",D11="Software Doesn't Check",D11="Pass"),0,1)</f>
        <v>1</v>
      </c>
    </row>
    <row r="12" spans="1:8" ht="15.75" thickBot="1" x14ac:dyDescent="0.3">
      <c r="B12" s="249" t="str">
        <f>D_M02!B9</f>
        <v>Roof – gable type- 5 in 12 slope No overhangs</v>
      </c>
      <c r="C12" s="104"/>
      <c r="D12" s="106" t="str">
        <f>IF(C12="Complies","Pass","Fail")</f>
        <v>Fail</v>
      </c>
      <c r="E12" s="6"/>
      <c r="H12" s="9">
        <f t="shared" si="0"/>
        <v>1</v>
      </c>
    </row>
    <row r="13" spans="1:8" ht="15.75" thickBot="1" x14ac:dyDescent="0.3">
      <c r="B13" s="249" t="str">
        <f>D_M02!B10</f>
        <v>Ceiling2 –flat under attic</v>
      </c>
      <c r="C13" s="104"/>
      <c r="D13" s="106" t="str">
        <f>IF(C13="Complies","Pass","Fail")</f>
        <v>Fail</v>
      </c>
      <c r="E13" s="6"/>
      <c r="H13" s="9">
        <f t="shared" si="0"/>
        <v>1</v>
      </c>
    </row>
    <row r="14" spans="1:8" thickBot="1" x14ac:dyDescent="0.35">
      <c r="B14" s="249" t="str">
        <f>D_M02!B11</f>
        <v xml:space="preserve">        Skylight</v>
      </c>
      <c r="C14" s="104"/>
      <c r="D14" s="106" t="str">
        <f>IF(C14="Complies","Pass","Fail")</f>
        <v>Fail</v>
      </c>
      <c r="E14" s="6"/>
      <c r="H14" s="9">
        <f t="shared" si="0"/>
        <v>1</v>
      </c>
    </row>
    <row r="15" spans="1:8" ht="15.75" thickBot="1" x14ac:dyDescent="0.3">
      <c r="B15" s="249" t="str">
        <f>D_M02!B12</f>
        <v>Wall 1 –faces North, Steel Frame3</v>
      </c>
      <c r="C15" s="104"/>
      <c r="D15" s="106" t="str">
        <f>IF(C15="R-Value too low","Pass","Fail")</f>
        <v>Fail</v>
      </c>
      <c r="E15" s="6"/>
      <c r="H15" s="9">
        <f t="shared" si="0"/>
        <v>1</v>
      </c>
    </row>
    <row r="16" spans="1:8" thickBot="1" x14ac:dyDescent="0.35">
      <c r="B16" s="249" t="str">
        <f>D_M02!B13</f>
        <v xml:space="preserve">        Door 1 - </v>
      </c>
      <c r="C16" s="107" t="s">
        <v>63</v>
      </c>
      <c r="D16" s="106" t="s">
        <v>63</v>
      </c>
      <c r="E16" s="6"/>
      <c r="H16" s="9">
        <f t="shared" si="0"/>
        <v>0</v>
      </c>
    </row>
    <row r="17" spans="2:8" ht="26.25" thickBot="1" x14ac:dyDescent="0.3">
      <c r="B17" s="249" t="str">
        <f>D_M02!B14</f>
        <v xml:space="preserve">        Window 1 – Vinyl Frame Impact Resistance Glass</v>
      </c>
      <c r="C17" s="107" t="s">
        <v>63</v>
      </c>
      <c r="D17" s="106" t="s">
        <v>63</v>
      </c>
      <c r="E17" s="6"/>
      <c r="H17" s="9">
        <f t="shared" si="0"/>
        <v>0</v>
      </c>
    </row>
    <row r="18" spans="2:8" ht="15.75" thickBot="1" x14ac:dyDescent="0.3">
      <c r="B18" s="249" t="str">
        <f>D_M02!B15</f>
        <v>Wall 2 –faces South, Steel Frame</v>
      </c>
      <c r="C18" s="104"/>
      <c r="D18" s="106" t="str">
        <f>IF(C18="R-Value too low","Pass","Fail")</f>
        <v>Fail</v>
      </c>
      <c r="E18" s="6"/>
      <c r="H18" s="9">
        <f t="shared" si="0"/>
        <v>1</v>
      </c>
    </row>
    <row r="19" spans="2:8" ht="26.25" thickBot="1" x14ac:dyDescent="0.3">
      <c r="B19" s="249" t="str">
        <f>D_M02!B16</f>
        <v xml:space="preserve">        Window 2 – Vinyl Frame Impact Resistance Glass</v>
      </c>
      <c r="C19" s="107" t="s">
        <v>63</v>
      </c>
      <c r="D19" s="106" t="s">
        <v>63</v>
      </c>
      <c r="E19" s="6"/>
      <c r="H19" s="9">
        <f t="shared" si="0"/>
        <v>0</v>
      </c>
    </row>
    <row r="20" spans="2:8" ht="15.75" thickBot="1" x14ac:dyDescent="0.3">
      <c r="B20" s="249" t="str">
        <f>D_M02!B17</f>
        <v>Wall 3 –faces South, Steel Frame</v>
      </c>
      <c r="C20" s="104"/>
      <c r="D20" s="106" t="str">
        <f>IF(C20="R-Value too low","Pass","Fail")</f>
        <v>Fail</v>
      </c>
      <c r="E20" s="6"/>
      <c r="H20" s="9">
        <f t="shared" si="0"/>
        <v>1</v>
      </c>
    </row>
    <row r="21" spans="2:8" ht="26.25" thickBot="1" x14ac:dyDescent="0.3">
      <c r="B21" s="249" t="str">
        <f>D_M02!B18</f>
        <v xml:space="preserve">        Window 3 – Vinyl Frame Impact Resistance Glass</v>
      </c>
      <c r="C21" s="107" t="s">
        <v>63</v>
      </c>
      <c r="D21" s="106" t="s">
        <v>63</v>
      </c>
      <c r="E21" s="6"/>
      <c r="H21" s="9">
        <f t="shared" si="0"/>
        <v>0</v>
      </c>
    </row>
    <row r="22" spans="2:8" ht="15.75" thickBot="1" x14ac:dyDescent="0.3">
      <c r="B22" s="249" t="str">
        <f>D_M02!B19</f>
        <v xml:space="preserve">Wall 4 –faces South, Wood4 2x4 </v>
      </c>
      <c r="C22" s="104"/>
      <c r="D22" s="106" t="str">
        <f>IF(C22="Complies","Pass","Fail")</f>
        <v>Fail</v>
      </c>
      <c r="E22" s="6"/>
      <c r="H22" s="9">
        <f t="shared" si="0"/>
        <v>1</v>
      </c>
    </row>
    <row r="23" spans="2:8" ht="26.25" thickBot="1" x14ac:dyDescent="0.3">
      <c r="B23" s="249" t="str">
        <f>D_M02!B20</f>
        <v xml:space="preserve">        Window 4 – Vinyl Frame  Impact Resistance Glass</v>
      </c>
      <c r="C23" s="107" t="s">
        <v>63</v>
      </c>
      <c r="D23" s="106" t="s">
        <v>63</v>
      </c>
      <c r="E23" s="6"/>
      <c r="H23" s="9">
        <f t="shared" si="0"/>
        <v>0</v>
      </c>
    </row>
    <row r="24" spans="2:8" ht="15.75" thickBot="1" x14ac:dyDescent="0.3">
      <c r="B24" s="249" t="str">
        <f>D_M02!B21</f>
        <v>Wall 5 –faces West, Steel Frame</v>
      </c>
      <c r="C24" s="104"/>
      <c r="D24" s="106" t="str">
        <f>IF(C24="R-Value too low","Pass","Fail")</f>
        <v>Fail</v>
      </c>
      <c r="E24" s="6"/>
      <c r="H24" s="9">
        <f>IF(OR(D24="Not applicable",D24="Software Doesn't Check",D24="Pass"),0,1)</f>
        <v>1</v>
      </c>
    </row>
    <row r="25" spans="2:8" ht="26.25" thickBot="1" x14ac:dyDescent="0.3">
      <c r="B25" s="249" t="str">
        <f>D_M02!B22</f>
        <v xml:space="preserve">        Window 5 – Vinyl Frame Impact Resistance Glass</v>
      </c>
      <c r="C25" s="108" t="s">
        <v>63</v>
      </c>
      <c r="D25" s="106" t="str">
        <f>IF(C25="Complies","Pass","Fail")</f>
        <v>Fail</v>
      </c>
      <c r="E25" s="6"/>
      <c r="H25" s="9">
        <f t="shared" ref="H25:H46" si="1">IF(OR(D25="Not applicable",D25="Software Doesn't Check",D25="Pass"),0,1)</f>
        <v>1</v>
      </c>
    </row>
    <row r="26" spans="2:8" thickBot="1" x14ac:dyDescent="0.35">
      <c r="B26" s="249" t="str">
        <f>D_M02!B23</f>
        <v>Infiltration</v>
      </c>
      <c r="C26" s="109"/>
      <c r="D26" s="106" t="str">
        <f>IF(C26="Complies","Pass",IF(C26="Not part of software","Software Doesn't Check","Fail"))</f>
        <v>Fail</v>
      </c>
      <c r="E26" s="6"/>
      <c r="H26" s="9">
        <f t="shared" si="1"/>
        <v>1</v>
      </c>
    </row>
    <row r="27" spans="2:8" ht="15.75" thickBot="1" x14ac:dyDescent="0.3">
      <c r="B27" s="249" t="str">
        <f>D_M02!B24</f>
        <v>Heating – heat pump</v>
      </c>
      <c r="C27" s="114"/>
      <c r="D27" s="106" t="str">
        <f>IF(C27="Complies","Pass",IF(C27="Not part of software","Software Doesn't Check","Fail"))</f>
        <v>Fail</v>
      </c>
      <c r="E27" s="6"/>
      <c r="H27" s="9">
        <f t="shared" si="1"/>
        <v>1</v>
      </c>
    </row>
    <row r="28" spans="2:8" ht="15.75" thickBot="1" x14ac:dyDescent="0.3">
      <c r="B28" s="249" t="str">
        <f>D_M02!B25</f>
        <v>Cooling – heat pump</v>
      </c>
      <c r="C28" s="104"/>
      <c r="D28" s="106" t="str">
        <f>IF(C28="Complies","Pass",IF(C28="Not part of software","Software Doesn't Check","Fail"))</f>
        <v>Fail</v>
      </c>
      <c r="E28" s="6"/>
      <c r="H28" s="9">
        <f t="shared" si="1"/>
        <v>1</v>
      </c>
    </row>
    <row r="29" spans="2:8" ht="15.75" thickBot="1" x14ac:dyDescent="0.3">
      <c r="B29" s="249" t="str">
        <f>D_M02!B26</f>
        <v>Ducts – supply in attic</v>
      </c>
      <c r="C29" s="104"/>
      <c r="D29" s="106" t="str">
        <f>IF(C29="Complies","Pass",IF(C29="Not part of software","Software Doesn't Check","Fail"))</f>
        <v>Fail</v>
      </c>
      <c r="E29" s="6"/>
      <c r="H29" s="9">
        <f t="shared" si="1"/>
        <v>1</v>
      </c>
    </row>
    <row r="30" spans="2:8" ht="15.75" thickBot="1" x14ac:dyDescent="0.3">
      <c r="B30" s="249" t="str">
        <f>D_M02!B27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D_M02!B28</f>
        <v>Duct Tightness</v>
      </c>
      <c r="C31" s="104"/>
      <c r="D31" s="106" t="str">
        <f t="shared" si="2"/>
        <v>Fail</v>
      </c>
      <c r="E31" s="6"/>
      <c r="H31" s="9">
        <f t="shared" si="1"/>
        <v>1</v>
      </c>
    </row>
    <row r="32" spans="2:8" ht="15.75" thickBot="1" x14ac:dyDescent="0.3">
      <c r="B32" s="249" t="str">
        <f>D_M02!B29</f>
        <v>Air Handler – in conditioned space</v>
      </c>
      <c r="C32" s="104"/>
      <c r="D32" s="106" t="str">
        <f t="shared" si="2"/>
        <v>Fail</v>
      </c>
      <c r="E32" s="6"/>
      <c r="H32" s="9">
        <f t="shared" si="1"/>
        <v>1</v>
      </c>
    </row>
    <row r="33" spans="1:8" thickBot="1" x14ac:dyDescent="0.35">
      <c r="B33" s="249" t="str">
        <f>D_M02!B30</f>
        <v>Mechanical Ventilation</v>
      </c>
      <c r="C33" s="104"/>
      <c r="D33" s="106" t="str">
        <f t="shared" si="2"/>
        <v>Fail</v>
      </c>
      <c r="E33" s="6"/>
      <c r="H33" s="9">
        <f t="shared" si="1"/>
        <v>1</v>
      </c>
    </row>
    <row r="34" spans="1:8" thickBot="1" x14ac:dyDescent="0.35">
      <c r="B34" s="249" t="str">
        <f>D_M02!B31</f>
        <v>Hot Water System - electric</v>
      </c>
      <c r="C34" s="104"/>
      <c r="D34" s="106" t="str">
        <f t="shared" si="2"/>
        <v>Fail</v>
      </c>
      <c r="E34" s="6"/>
      <c r="H34" s="9">
        <f t="shared" si="1"/>
        <v>1</v>
      </c>
    </row>
    <row r="35" spans="1:8" thickBot="1" x14ac:dyDescent="0.35">
      <c r="B35" s="249" t="str">
        <f>D_M02!B32</f>
        <v>All Hot Water Lines</v>
      </c>
      <c r="C35" s="104"/>
      <c r="D35" s="106" t="str">
        <f t="shared" si="2"/>
        <v>Fail</v>
      </c>
      <c r="E35" s="6"/>
      <c r="H35" s="9">
        <f t="shared" si="1"/>
        <v>1</v>
      </c>
    </row>
    <row r="36" spans="1:8" thickBot="1" x14ac:dyDescent="0.35">
      <c r="B36" s="249" t="str">
        <f>D_M02!B33</f>
        <v>Hot Water Circulation -none</v>
      </c>
      <c r="C36" s="104"/>
      <c r="D36" s="106" t="str">
        <f t="shared" si="2"/>
        <v>Fail</v>
      </c>
      <c r="E36" s="6"/>
      <c r="H36" s="9">
        <f t="shared" si="1"/>
        <v>1</v>
      </c>
    </row>
    <row r="37" spans="1:8" thickBot="1" x14ac:dyDescent="0.35">
      <c r="B37" s="249" t="str">
        <f>D_M02!B34</f>
        <v>Lighting</v>
      </c>
      <c r="C37" s="104"/>
      <c r="D37" s="106" t="str">
        <f t="shared" si="2"/>
        <v>Fail</v>
      </c>
      <c r="E37" s="6"/>
      <c r="H37" s="9">
        <f t="shared" si="1"/>
        <v>1</v>
      </c>
    </row>
    <row r="38" spans="1:8" thickBot="1" x14ac:dyDescent="0.35">
      <c r="B38" s="249" t="str">
        <f>D_M02!B35</f>
        <v>Pool and Spa - none</v>
      </c>
      <c r="C38" s="104"/>
      <c r="D38" s="106" t="str">
        <f t="shared" si="2"/>
        <v>Fail</v>
      </c>
      <c r="E38" s="6"/>
      <c r="H38" s="9">
        <f t="shared" si="1"/>
        <v>1</v>
      </c>
    </row>
    <row r="39" spans="1:8" thickBot="1" x14ac:dyDescent="0.35">
      <c r="B39" s="250" t="str">
        <f>D_M02!B38</f>
        <v>Area Weighted Fenestration U-Factor Value</v>
      </c>
      <c r="C39" s="105"/>
      <c r="D39" s="106" t="str">
        <f>IF(C39&gt;UA_M02!M27,IF(C39&lt;=UA_M02!M28,"Pass","Fail"),"Fail")</f>
        <v>Fail</v>
      </c>
      <c r="E39" s="302"/>
      <c r="H39" s="9">
        <f t="shared" si="1"/>
        <v>1</v>
      </c>
    </row>
    <row r="40" spans="1:8" thickBot="1" x14ac:dyDescent="0.35">
      <c r="B40" s="250" t="str">
        <f>D_M02!B39</f>
        <v>Area Weighted Fenestration SHGC Value</v>
      </c>
      <c r="C40" s="104"/>
      <c r="D40" s="106" t="str">
        <f>IF(C40&gt;UA_M02!Q27,IF(C40&lt;=UA_M02!Q28,"Pass","Fail"),"Fail")</f>
        <v>Fail</v>
      </c>
      <c r="E40" s="302"/>
      <c r="H40" s="9">
        <f t="shared" si="1"/>
        <v>1</v>
      </c>
    </row>
    <row r="41" spans="1:8" thickBot="1" x14ac:dyDescent="0.35">
      <c r="B41" s="250" t="str">
        <f>D_M02!B40</f>
        <v>Total Thermal Envelope UA Value</v>
      </c>
      <c r="C41" s="111" t="s">
        <v>63</v>
      </c>
      <c r="D41" s="106" t="str">
        <f>IF(C41="Complies","Not applicable",IF(C41="Not applicable","Not applicable","Fail"))</f>
        <v>Not applicable</v>
      </c>
      <c r="E41" s="302"/>
      <c r="H41" s="9">
        <f t="shared" si="1"/>
        <v>0</v>
      </c>
    </row>
    <row r="42" spans="1:8" thickBot="1" x14ac:dyDescent="0.35">
      <c r="B42" s="250" t="str">
        <f>D_M02!B41</f>
        <v>Area Weighted Fenestration U-Factor Result</v>
      </c>
      <c r="C42" s="104"/>
      <c r="D42" s="106" t="str">
        <f>IF(C42="Complies","Pass","Fail")</f>
        <v>Fail</v>
      </c>
      <c r="E42" s="6"/>
      <c r="H42" s="9">
        <f t="shared" si="1"/>
        <v>1</v>
      </c>
    </row>
    <row r="43" spans="1:8" thickBot="1" x14ac:dyDescent="0.35">
      <c r="B43" s="250" t="str">
        <f>D_M02!B42</f>
        <v>Area Weighted Fenestration SHGC Result</v>
      </c>
      <c r="C43" s="104"/>
      <c r="D43" s="106" t="str">
        <f>IF(C43="Complies","Pass","Fail")</f>
        <v>Fail</v>
      </c>
      <c r="E43" s="6"/>
      <c r="H43" s="9">
        <f t="shared" si="1"/>
        <v>1</v>
      </c>
    </row>
    <row r="44" spans="1:8" thickBot="1" x14ac:dyDescent="0.35">
      <c r="B44" s="250" t="str">
        <f>D_M02!B43</f>
        <v>Baseline Thermal Envelope UA Value</v>
      </c>
      <c r="C44" s="112" t="s">
        <v>63</v>
      </c>
      <c r="D44" s="106" t="str">
        <f>IF(C44="Complies","Not applicable",IF(C44="Not applicable","Not applicable","Fail"))</f>
        <v>Not applicable</v>
      </c>
      <c r="E44" s="6"/>
      <c r="H44" s="9">
        <f t="shared" si="1"/>
        <v>0</v>
      </c>
    </row>
    <row r="45" spans="1:8" thickBot="1" x14ac:dyDescent="0.35">
      <c r="B45" s="250" t="str">
        <f>D_M02!B44</f>
        <v>Total Thermal Envelope UA Result</v>
      </c>
      <c r="C45" s="112" t="s">
        <v>63</v>
      </c>
      <c r="D45" s="106" t="str">
        <f>IF(C45="Complies","Not applicable",IF(C45="Not applicable","Not applicable","Fail"))</f>
        <v>Not applicable</v>
      </c>
      <c r="H45" s="9">
        <f t="shared" si="1"/>
        <v>0</v>
      </c>
    </row>
    <row r="46" spans="1:8" thickBot="1" x14ac:dyDescent="0.35">
      <c r="B46" s="250" t="str">
        <f>D_M02!B45</f>
        <v>House Complies?</v>
      </c>
      <c r="C46" s="104"/>
      <c r="D46" s="106" t="str">
        <f>IF(C46="No","Pass","Fail")</f>
        <v>Fail</v>
      </c>
      <c r="H46" s="9">
        <f t="shared" si="1"/>
        <v>1</v>
      </c>
    </row>
    <row r="47" spans="1:8" ht="21.6" customHeight="1" x14ac:dyDescent="0.5">
      <c r="B47" s="19"/>
      <c r="C47" s="15" t="s">
        <v>94</v>
      </c>
      <c r="D47" s="16" t="str">
        <f>IF(H47&gt;0,"FAIL","PASS")</f>
        <v>FAIL</v>
      </c>
      <c r="H47" s="258">
        <f xml:space="preserve"> SUM(H11:H46)</f>
        <v>28</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07"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D_M02!B4</f>
        <v>House Pr-M02</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D_M02!B8</f>
        <v>Raised Floor1</v>
      </c>
      <c r="C58" s="107"/>
      <c r="D58" s="107"/>
      <c r="E58" s="104"/>
      <c r="F58" s="106" t="str">
        <f>IF(E58="Complies","Pass","Fail")</f>
        <v>Fail</v>
      </c>
      <c r="H58" s="9">
        <f>IF(OR(F58="Not applicable",F58="Software Doesn't Check",F58="Pass"),0,1)</f>
        <v>1</v>
      </c>
    </row>
    <row r="59" spans="1:8" ht="15" customHeight="1" thickBot="1" x14ac:dyDescent="0.35">
      <c r="B59" s="249" t="str">
        <f>D_M02!B9</f>
        <v>Roof – gable type- 5 in 12 slope No overhangs</v>
      </c>
      <c r="C59" s="107"/>
      <c r="D59" s="107"/>
      <c r="E59" s="104"/>
      <c r="F59" s="106" t="str">
        <f>IF(E59="Complies","Pass","Fail")</f>
        <v>Fail</v>
      </c>
      <c r="H59" s="9">
        <f t="shared" ref="H59:H93" si="3">IF(OR(F59="Not applicable",F59="Software Doesn't Check",F59="Pass"),0,1)</f>
        <v>1</v>
      </c>
    </row>
    <row r="60" spans="1:8" ht="15" customHeight="1" thickBot="1" x14ac:dyDescent="0.35">
      <c r="B60" s="249" t="str">
        <f>D_M02!B10</f>
        <v>Ceiling2 –flat under attic</v>
      </c>
      <c r="C60" s="104"/>
      <c r="D60" s="104"/>
      <c r="E60" s="104"/>
      <c r="F60" s="106" t="str">
        <f>IF(E60="Complies","Pass","Fail")</f>
        <v>Fail</v>
      </c>
      <c r="H60" s="9">
        <f t="shared" si="3"/>
        <v>1</v>
      </c>
    </row>
    <row r="61" spans="1:8" ht="15" customHeight="1" thickBot="1" x14ac:dyDescent="0.35">
      <c r="B61" s="249" t="str">
        <f>D_M02!B11</f>
        <v xml:space="preserve">        Skylight</v>
      </c>
      <c r="C61" s="107"/>
      <c r="D61" s="218">
        <f>D_M02!E11</f>
        <v>0.75</v>
      </c>
      <c r="E61" s="104"/>
      <c r="F61" s="106" t="str">
        <f>IF(E61="Complies","Pass","Fail")</f>
        <v>Fail</v>
      </c>
      <c r="H61" s="9">
        <f t="shared" si="3"/>
        <v>1</v>
      </c>
    </row>
    <row r="62" spans="1:8" ht="15" customHeight="1" thickBot="1" x14ac:dyDescent="0.35">
      <c r="B62" s="249" t="str">
        <f>D_M02!B12</f>
        <v>Wall 1 –faces North, Steel Frame3</v>
      </c>
      <c r="C62" s="104"/>
      <c r="D62" s="104"/>
      <c r="E62" s="104"/>
      <c r="F62" s="106" t="str">
        <f>IF(E62="U-Factor too high","Pass","Fail")</f>
        <v>Fail</v>
      </c>
      <c r="H62" s="9">
        <f t="shared" si="3"/>
        <v>1</v>
      </c>
    </row>
    <row r="63" spans="1:8" ht="15" customHeight="1" thickBot="1" x14ac:dyDescent="0.35">
      <c r="B63" s="249" t="str">
        <f>D_M02!B13</f>
        <v xml:space="preserve">        Door 1 - </v>
      </c>
      <c r="C63" s="107"/>
      <c r="D63" s="218">
        <f>D_M02!E13</f>
        <v>0.65</v>
      </c>
      <c r="E63" s="111" t="s">
        <v>63</v>
      </c>
      <c r="F63" s="106" t="s">
        <v>63</v>
      </c>
      <c r="H63" s="9">
        <f t="shared" si="3"/>
        <v>0</v>
      </c>
    </row>
    <row r="64" spans="1:8" ht="15" customHeight="1" thickBot="1" x14ac:dyDescent="0.35">
      <c r="B64" s="249" t="str">
        <f>D_M02!B14</f>
        <v xml:space="preserve">        Window 1 – Vinyl Frame Impact Resistance Glass</v>
      </c>
      <c r="C64" s="107"/>
      <c r="D64" s="218">
        <f>D_M02!E14</f>
        <v>0.75</v>
      </c>
      <c r="E64" s="111" t="s">
        <v>63</v>
      </c>
      <c r="F64" s="106" t="s">
        <v>63</v>
      </c>
      <c r="H64" s="9">
        <f t="shared" si="3"/>
        <v>0</v>
      </c>
    </row>
    <row r="65" spans="2:8" ht="15" customHeight="1" thickBot="1" x14ac:dyDescent="0.35">
      <c r="B65" s="249" t="str">
        <f>D_M02!B15</f>
        <v>Wall 2 –faces South, Steel Frame</v>
      </c>
      <c r="C65" s="104"/>
      <c r="D65" s="104"/>
      <c r="E65" s="104"/>
      <c r="F65" s="106" t="str">
        <f>IF(E65="U-Factor too high","Pass","Fail")</f>
        <v>Fail</v>
      </c>
      <c r="H65" s="9">
        <f t="shared" si="3"/>
        <v>1</v>
      </c>
    </row>
    <row r="66" spans="2:8" ht="15" customHeight="1" thickBot="1" x14ac:dyDescent="0.35">
      <c r="B66" s="249" t="str">
        <f>D_M02!B16</f>
        <v xml:space="preserve">        Window 2 – Vinyl Frame Impact Resistance Glass</v>
      </c>
      <c r="C66" s="107"/>
      <c r="D66" s="218">
        <f>D_M02!E16</f>
        <v>0.75</v>
      </c>
      <c r="E66" s="111" t="s">
        <v>63</v>
      </c>
      <c r="F66" s="106" t="s">
        <v>63</v>
      </c>
      <c r="H66" s="9">
        <f t="shared" si="3"/>
        <v>0</v>
      </c>
    </row>
    <row r="67" spans="2:8" ht="15" customHeight="1" thickBot="1" x14ac:dyDescent="0.35">
      <c r="B67" s="249" t="str">
        <f>D_M02!B17</f>
        <v>Wall 3 –faces South, Steel Frame</v>
      </c>
      <c r="C67" s="104"/>
      <c r="D67" s="104"/>
      <c r="E67" s="104"/>
      <c r="F67" s="106" t="str">
        <f>IF(E67="U-Factor too high","Pass","Fail")</f>
        <v>Fail</v>
      </c>
      <c r="H67" s="9">
        <f t="shared" si="3"/>
        <v>1</v>
      </c>
    </row>
    <row r="68" spans="2:8" ht="15" customHeight="1" thickBot="1" x14ac:dyDescent="0.35">
      <c r="B68" s="249" t="str">
        <f>D_M02!B18</f>
        <v xml:space="preserve">        Window 3 – Vinyl Frame Impact Resistance Glass</v>
      </c>
      <c r="C68" s="107"/>
      <c r="D68" s="218">
        <f>D_M02!E18</f>
        <v>0.75</v>
      </c>
      <c r="E68" s="111" t="s">
        <v>63</v>
      </c>
      <c r="F68" s="106" t="s">
        <v>63</v>
      </c>
      <c r="H68" s="9">
        <f t="shared" si="3"/>
        <v>0</v>
      </c>
    </row>
    <row r="69" spans="2:8" ht="15" customHeight="1" thickBot="1" x14ac:dyDescent="0.35">
      <c r="B69" s="249" t="str">
        <f>D_M02!B19</f>
        <v xml:space="preserve">Wall 4 –faces South, Wood4 2x4 </v>
      </c>
      <c r="C69" s="104"/>
      <c r="D69" s="104"/>
      <c r="E69" s="104"/>
      <c r="F69" s="106" t="str">
        <f>IF(E69="U-Factor too high","Pass","Fail")</f>
        <v>Fail</v>
      </c>
      <c r="H69" s="9">
        <f t="shared" si="3"/>
        <v>1</v>
      </c>
    </row>
    <row r="70" spans="2:8" ht="15" customHeight="1" thickBot="1" x14ac:dyDescent="0.35">
      <c r="B70" s="249" t="str">
        <f>D_M02!B20</f>
        <v xml:space="preserve">        Window 4 – Vinyl Frame  Impact Resistance Glass</v>
      </c>
      <c r="C70" s="107"/>
      <c r="D70" s="218">
        <f>D_M02!E20</f>
        <v>0.75</v>
      </c>
      <c r="E70" s="111" t="s">
        <v>63</v>
      </c>
      <c r="F70" s="106" t="s">
        <v>63</v>
      </c>
      <c r="H70" s="9">
        <f t="shared" si="3"/>
        <v>0</v>
      </c>
    </row>
    <row r="71" spans="2:8" ht="15" customHeight="1" thickBot="1" x14ac:dyDescent="0.35">
      <c r="B71" s="249" t="str">
        <f>D_M02!B21</f>
        <v>Wall 5 –faces West, Steel Frame</v>
      </c>
      <c r="C71" s="104"/>
      <c r="D71" s="104"/>
      <c r="E71" s="104"/>
      <c r="F71" s="106" t="str">
        <f>IF(E71="U-Factor too high","Pass","Fail")</f>
        <v>Fail</v>
      </c>
      <c r="H71" s="9">
        <f t="shared" si="3"/>
        <v>1</v>
      </c>
    </row>
    <row r="72" spans="2:8" ht="15" customHeight="1" thickBot="1" x14ac:dyDescent="0.35">
      <c r="B72" s="249" t="str">
        <f>D_M02!B22</f>
        <v xml:space="preserve">        Window 5 – Vinyl Frame Impact Resistance Glass</v>
      </c>
      <c r="C72" s="107"/>
      <c r="D72" s="218">
        <f>D_M02!E22</f>
        <v>0.75</v>
      </c>
      <c r="E72" s="111" t="s">
        <v>63</v>
      </c>
      <c r="F72" s="106" t="s">
        <v>63</v>
      </c>
      <c r="H72" s="9">
        <f t="shared" si="3"/>
        <v>0</v>
      </c>
    </row>
    <row r="73" spans="2:8" ht="15" customHeight="1" thickBot="1" x14ac:dyDescent="0.35">
      <c r="B73" s="249" t="str">
        <f>D_M02!B23</f>
        <v>Infiltration</v>
      </c>
      <c r="C73" s="107"/>
      <c r="D73" s="107"/>
      <c r="E73" s="113"/>
      <c r="F73" s="106" t="str">
        <f>IF(E73="Complies","Pass",IF(E73="Not part of software","Software Doesn't Check","Fail"))</f>
        <v>Fail</v>
      </c>
      <c r="H73" s="9">
        <f t="shared" si="3"/>
        <v>1</v>
      </c>
    </row>
    <row r="74" spans="2:8" ht="15" customHeight="1" thickBot="1" x14ac:dyDescent="0.35">
      <c r="B74" s="249" t="str">
        <f>D_M02!B24</f>
        <v>Heating – heat pump</v>
      </c>
      <c r="C74" s="107"/>
      <c r="D74" s="107"/>
      <c r="E74" s="114"/>
      <c r="F74" s="106" t="str">
        <f>IF(E74="Complies","Pass",IF(E74="Not part of software","Software Doesn't Check","Fail"))</f>
        <v>Fail</v>
      </c>
      <c r="H74" s="9">
        <f t="shared" si="3"/>
        <v>1</v>
      </c>
    </row>
    <row r="75" spans="2:8" ht="15" customHeight="1" thickBot="1" x14ac:dyDescent="0.35">
      <c r="B75" s="249" t="str">
        <f>D_M02!B25</f>
        <v>Cooling – heat pump</v>
      </c>
      <c r="C75" s="107"/>
      <c r="D75" s="107"/>
      <c r="E75" s="113"/>
      <c r="F75" s="106" t="str">
        <f>IF(E75="Complies","Pass",IF(E75="Not part of software","Software Doesn't Check","Fail"))</f>
        <v>Fail</v>
      </c>
      <c r="H75" s="9">
        <f t="shared" si="3"/>
        <v>1</v>
      </c>
    </row>
    <row r="76" spans="2:8" ht="15" customHeight="1" thickBot="1" x14ac:dyDescent="0.35">
      <c r="B76" s="249" t="str">
        <f>D_M02!B26</f>
        <v>Ducts – supply in attic</v>
      </c>
      <c r="C76" s="107"/>
      <c r="D76" s="107"/>
      <c r="E76" s="113"/>
      <c r="F76" s="106" t="str">
        <f>IF(E76="Complies","Pass",IF(E76="Not part of software","Software Doesn't Check","Fail"))</f>
        <v>Fail</v>
      </c>
      <c r="H76" s="9">
        <f t="shared" si="3"/>
        <v>1</v>
      </c>
    </row>
    <row r="77" spans="2:8" ht="15" customHeight="1" thickBot="1" x14ac:dyDescent="0.35">
      <c r="B77" s="249" t="str">
        <f>D_M02!B27</f>
        <v>Ducts – return in conditioned space</v>
      </c>
      <c r="C77" s="107"/>
      <c r="D77" s="107"/>
      <c r="E77" s="113"/>
      <c r="F77" s="106" t="str">
        <f t="shared" ref="F77:F85" si="4">IF(E77="Complies","Pass",IF(E77="Not part of software","Software Doesn't Check","Fail"))</f>
        <v>Fail</v>
      </c>
      <c r="H77" s="9">
        <f t="shared" si="3"/>
        <v>1</v>
      </c>
    </row>
    <row r="78" spans="2:8" ht="15" customHeight="1" thickBot="1" x14ac:dyDescent="0.35">
      <c r="B78" s="249" t="str">
        <f>D_M02!B28</f>
        <v>Duct Tightness</v>
      </c>
      <c r="C78" s="107"/>
      <c r="D78" s="107"/>
      <c r="E78" s="113"/>
      <c r="F78" s="106" t="str">
        <f t="shared" si="4"/>
        <v>Fail</v>
      </c>
      <c r="H78" s="9">
        <f t="shared" si="3"/>
        <v>1</v>
      </c>
    </row>
    <row r="79" spans="2:8" ht="15" customHeight="1" thickBot="1" x14ac:dyDescent="0.35">
      <c r="B79" s="249" t="str">
        <f>D_M02!B29</f>
        <v>Air Handler – in conditioned space</v>
      </c>
      <c r="C79" s="107"/>
      <c r="D79" s="107"/>
      <c r="E79" s="113"/>
      <c r="F79" s="106" t="str">
        <f t="shared" si="4"/>
        <v>Fail</v>
      </c>
      <c r="H79" s="9">
        <f t="shared" si="3"/>
        <v>1</v>
      </c>
    </row>
    <row r="80" spans="2:8" ht="15" customHeight="1" thickBot="1" x14ac:dyDescent="0.35">
      <c r="B80" s="249" t="str">
        <f>D_M02!B30</f>
        <v>Mechanical Ventilation</v>
      </c>
      <c r="C80" s="107"/>
      <c r="D80" s="107"/>
      <c r="E80" s="104"/>
      <c r="F80" s="106" t="str">
        <f t="shared" si="4"/>
        <v>Fail</v>
      </c>
      <c r="H80" s="9">
        <f t="shared" si="3"/>
        <v>1</v>
      </c>
    </row>
    <row r="81" spans="1:8" ht="15" customHeight="1" thickBot="1" x14ac:dyDescent="0.35">
      <c r="B81" s="249" t="str">
        <f>D_M02!B31</f>
        <v>Hot Water System - electric</v>
      </c>
      <c r="C81" s="107"/>
      <c r="D81" s="107"/>
      <c r="E81" s="113"/>
      <c r="F81" s="106" t="str">
        <f t="shared" si="4"/>
        <v>Fail</v>
      </c>
      <c r="H81" s="9">
        <f t="shared" si="3"/>
        <v>1</v>
      </c>
    </row>
    <row r="82" spans="1:8" ht="15" customHeight="1" thickBot="1" x14ac:dyDescent="0.35">
      <c r="B82" s="249" t="str">
        <f>D_M02!B32</f>
        <v>All Hot Water Lines</v>
      </c>
      <c r="C82" s="107"/>
      <c r="D82" s="107"/>
      <c r="E82" s="113"/>
      <c r="F82" s="106" t="str">
        <f t="shared" si="4"/>
        <v>Fail</v>
      </c>
      <c r="H82" s="9">
        <f t="shared" si="3"/>
        <v>1</v>
      </c>
    </row>
    <row r="83" spans="1:8" ht="15" customHeight="1" thickBot="1" x14ac:dyDescent="0.35">
      <c r="B83" s="249" t="str">
        <f>D_M02!B33</f>
        <v>Hot Water Circulation -none</v>
      </c>
      <c r="C83" s="107"/>
      <c r="D83" s="107"/>
      <c r="E83" s="113"/>
      <c r="F83" s="106" t="str">
        <f t="shared" si="4"/>
        <v>Fail</v>
      </c>
      <c r="H83" s="9">
        <f t="shared" si="3"/>
        <v>1</v>
      </c>
    </row>
    <row r="84" spans="1:8" ht="15" customHeight="1" thickBot="1" x14ac:dyDescent="0.35">
      <c r="B84" s="249" t="str">
        <f>D_M02!B34</f>
        <v>Lighting</v>
      </c>
      <c r="C84" s="107"/>
      <c r="D84" s="107"/>
      <c r="E84" s="113"/>
      <c r="F84" s="106" t="str">
        <f t="shared" si="4"/>
        <v>Fail</v>
      </c>
      <c r="H84" s="9">
        <f t="shared" si="3"/>
        <v>1</v>
      </c>
    </row>
    <row r="85" spans="1:8" ht="15" customHeight="1" thickBot="1" x14ac:dyDescent="0.35">
      <c r="B85" s="249" t="str">
        <f>D_M02!B35</f>
        <v>Pool and Spa - none</v>
      </c>
      <c r="C85" s="107"/>
      <c r="D85" s="107"/>
      <c r="E85" s="113"/>
      <c r="F85" s="106" t="str">
        <f t="shared" si="4"/>
        <v>Fail</v>
      </c>
      <c r="H85" s="9">
        <f t="shared" si="3"/>
        <v>1</v>
      </c>
    </row>
    <row r="86" spans="1:8" ht="15" customHeight="1" thickBot="1" x14ac:dyDescent="0.35">
      <c r="B86" s="250" t="str">
        <f>D_M02!B38</f>
        <v>Area Weighted Fenestration U-Factor Value</v>
      </c>
      <c r="C86" s="107"/>
      <c r="D86" s="107"/>
      <c r="E86" s="105"/>
      <c r="F86" s="106" t="str">
        <f>IF(E86&gt;UA_M02!O27,IF(E86&lt;=UA_M02!O28,"Pass","Fail"),"Fail")</f>
        <v>Fail</v>
      </c>
      <c r="H86" s="9">
        <f t="shared" si="3"/>
        <v>1</v>
      </c>
    </row>
    <row r="87" spans="1:8" ht="15" customHeight="1" thickBot="1" x14ac:dyDescent="0.35">
      <c r="B87" s="250" t="str">
        <f>D_M02!B39</f>
        <v>Area Weighted Fenestration SHGC Value</v>
      </c>
      <c r="C87" s="107"/>
      <c r="D87" s="107"/>
      <c r="E87" s="104"/>
      <c r="F87" s="106" t="str">
        <f>IF(E87&gt;UA_M02!S27,IF(E87&lt;=UA_M02!S28,"Pass","Fail"),"Fail")</f>
        <v>Fail</v>
      </c>
      <c r="H87" s="9">
        <f t="shared" si="3"/>
        <v>1</v>
      </c>
    </row>
    <row r="88" spans="1:8" ht="15" customHeight="1" thickBot="1" x14ac:dyDescent="0.35">
      <c r="B88" s="250" t="str">
        <f>D_M02!B40</f>
        <v>Total Thermal Envelope UA Value</v>
      </c>
      <c r="C88" s="107"/>
      <c r="D88" s="107"/>
      <c r="E88" s="111" t="s">
        <v>63</v>
      </c>
      <c r="F88" s="106" t="s">
        <v>63</v>
      </c>
      <c r="H88" s="9">
        <f t="shared" si="3"/>
        <v>0</v>
      </c>
    </row>
    <row r="89" spans="1:8" ht="15" customHeight="1" thickBot="1" x14ac:dyDescent="0.35">
      <c r="B89" s="250" t="str">
        <f>D_M02!B41</f>
        <v>Area Weighted Fenestration U-Factor Result</v>
      </c>
      <c r="C89" s="107"/>
      <c r="D89" s="111"/>
      <c r="E89" s="104"/>
      <c r="F89" s="106" t="str">
        <f>IF(E89="Average U too high","Pass","Fail")</f>
        <v>Fail</v>
      </c>
      <c r="H89" s="9">
        <f t="shared" si="3"/>
        <v>1</v>
      </c>
    </row>
    <row r="90" spans="1:8" ht="15" customHeight="1" thickBot="1" x14ac:dyDescent="0.35">
      <c r="B90" s="250" t="str">
        <f>D_M02!B42</f>
        <v>Area Weighted Fenestration SHGC Result</v>
      </c>
      <c r="C90" s="107"/>
      <c r="D90" s="111"/>
      <c r="E90" s="104"/>
      <c r="F90" s="106" t="str">
        <f>IF(E90="Complies","Pass","Fail")</f>
        <v>Fail</v>
      </c>
      <c r="H90" s="9">
        <f t="shared" si="3"/>
        <v>1</v>
      </c>
    </row>
    <row r="91" spans="1:8" ht="15" customHeight="1" thickBot="1" x14ac:dyDescent="0.35">
      <c r="B91" s="250" t="str">
        <f>D_M02!B43</f>
        <v>Baseline Thermal Envelope UA Value</v>
      </c>
      <c r="C91" s="107"/>
      <c r="D91" s="111"/>
      <c r="E91" s="111" t="s">
        <v>63</v>
      </c>
      <c r="F91" s="106" t="s">
        <v>63</v>
      </c>
      <c r="H91" s="9">
        <f t="shared" si="3"/>
        <v>0</v>
      </c>
    </row>
    <row r="92" spans="1:8" ht="15" customHeight="1" thickBot="1" x14ac:dyDescent="0.35">
      <c r="B92" s="250" t="str">
        <f>D_M02!B44</f>
        <v>Total Thermal Envelope UA Result</v>
      </c>
      <c r="C92" s="107"/>
      <c r="D92" s="111"/>
      <c r="E92" s="111" t="s">
        <v>63</v>
      </c>
      <c r="F92" s="106" t="s">
        <v>63</v>
      </c>
      <c r="H92" s="9">
        <f t="shared" si="3"/>
        <v>0</v>
      </c>
    </row>
    <row r="93" spans="1:8" ht="15" customHeight="1" thickBot="1" x14ac:dyDescent="0.35">
      <c r="B93" s="250" t="str">
        <f>D_M02!B45</f>
        <v>House Complies?</v>
      </c>
      <c r="C93" s="107"/>
      <c r="D93" s="111"/>
      <c r="E93" s="104"/>
      <c r="F93" s="106" t="str">
        <f>IF(E93="No","Pass","Fail")</f>
        <v>Fail</v>
      </c>
      <c r="H93" s="9">
        <f t="shared" si="3"/>
        <v>1</v>
      </c>
    </row>
    <row r="94" spans="1:8" ht="21" customHeight="1" x14ac:dyDescent="0.5">
      <c r="B94" s="19"/>
      <c r="E94" s="24" t="s">
        <v>85</v>
      </c>
      <c r="F94" s="16" t="str">
        <f>IF(H94&gt;0,"FAIL","PASS")</f>
        <v>FAIL</v>
      </c>
      <c r="H94" s="258">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260"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D_M02!B4</f>
        <v>House Pr-M02</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D_M02!B8</f>
        <v>Raised Floor1</v>
      </c>
      <c r="C105" s="107"/>
      <c r="D105" s="107"/>
      <c r="E105" s="111" t="s">
        <v>63</v>
      </c>
      <c r="F105" s="106" t="s">
        <v>63</v>
      </c>
      <c r="H105" s="9">
        <f t="shared" ref="H105:H140" si="5">IF(OR(F105="Not applicable",F105="Software Doesn't Check",F105="Pass"),0,1)</f>
        <v>0</v>
      </c>
    </row>
    <row r="106" spans="1:8" ht="17.25" customHeight="1" thickBot="1" x14ac:dyDescent="0.35">
      <c r="B106" s="249" t="str">
        <f>D_M02!B9</f>
        <v>Roof – gable type- 5 in 12 slope No overhangs</v>
      </c>
      <c r="C106" s="107"/>
      <c r="D106" s="107"/>
      <c r="E106" s="111" t="s">
        <v>63</v>
      </c>
      <c r="F106" s="106" t="s">
        <v>63</v>
      </c>
      <c r="H106" s="9">
        <f t="shared" si="5"/>
        <v>0</v>
      </c>
    </row>
    <row r="107" spans="1:8" ht="17.25" customHeight="1" thickBot="1" x14ac:dyDescent="0.35">
      <c r="B107" s="249" t="str">
        <f>D_M02!B10</f>
        <v>Ceiling2 –flat under attic</v>
      </c>
      <c r="C107" s="104"/>
      <c r="D107" s="104"/>
      <c r="E107" s="111" t="s">
        <v>63</v>
      </c>
      <c r="F107" s="106" t="s">
        <v>63</v>
      </c>
      <c r="H107" s="9">
        <f t="shared" si="5"/>
        <v>0</v>
      </c>
    </row>
    <row r="108" spans="1:8" ht="17.25" customHeight="1" thickBot="1" x14ac:dyDescent="0.35">
      <c r="B108" s="249" t="str">
        <f>D_M02!B11</f>
        <v xml:space="preserve">        Skylight</v>
      </c>
      <c r="C108" s="111"/>
      <c r="D108" s="219">
        <f>D_M02!E11</f>
        <v>0.75</v>
      </c>
      <c r="E108" s="104"/>
      <c r="F108" s="106" t="str">
        <f>IF(E108="Complies","Pass","Fail")</f>
        <v>Fail</v>
      </c>
      <c r="H108" s="9">
        <f t="shared" si="5"/>
        <v>1</v>
      </c>
    </row>
    <row r="109" spans="1:8" ht="17.25" customHeight="1" thickBot="1" x14ac:dyDescent="0.35">
      <c r="B109" s="249" t="str">
        <f>D_M02!B12</f>
        <v>Wall 1 –faces North, Steel Frame3</v>
      </c>
      <c r="C109" s="104"/>
      <c r="D109" s="104"/>
      <c r="E109" s="111" t="s">
        <v>63</v>
      </c>
      <c r="F109" s="106" t="s">
        <v>63</v>
      </c>
      <c r="H109" s="9">
        <f t="shared" si="5"/>
        <v>0</v>
      </c>
    </row>
    <row r="110" spans="1:8" ht="17.25" customHeight="1" thickBot="1" x14ac:dyDescent="0.35">
      <c r="B110" s="249" t="str">
        <f>D_M02!B13</f>
        <v xml:space="preserve">        Door 1 - </v>
      </c>
      <c r="C110" s="111"/>
      <c r="D110" s="219">
        <f>D_M02!E13</f>
        <v>0.65</v>
      </c>
      <c r="E110" s="111" t="s">
        <v>63</v>
      </c>
      <c r="F110" s="106" t="s">
        <v>63</v>
      </c>
      <c r="H110" s="9">
        <f t="shared" si="5"/>
        <v>0</v>
      </c>
    </row>
    <row r="111" spans="1:8" ht="17.25" customHeight="1" thickBot="1" x14ac:dyDescent="0.35">
      <c r="B111" s="249" t="str">
        <f>D_M02!B14</f>
        <v xml:space="preserve">        Window 1 – Vinyl Frame Impact Resistance Glass</v>
      </c>
      <c r="C111" s="111"/>
      <c r="D111" s="219">
        <f>D_M02!E14</f>
        <v>0.75</v>
      </c>
      <c r="E111" s="111" t="s">
        <v>63</v>
      </c>
      <c r="F111" s="106" t="s">
        <v>63</v>
      </c>
      <c r="H111" s="9">
        <f t="shared" si="5"/>
        <v>0</v>
      </c>
    </row>
    <row r="112" spans="1:8" ht="17.25" customHeight="1" thickBot="1" x14ac:dyDescent="0.35">
      <c r="B112" s="249" t="str">
        <f>D_M02!B15</f>
        <v>Wall 2 –faces South, Steel Frame</v>
      </c>
      <c r="C112" s="104"/>
      <c r="D112" s="104"/>
      <c r="E112" s="111" t="s">
        <v>63</v>
      </c>
      <c r="F112" s="106" t="s">
        <v>63</v>
      </c>
      <c r="H112" s="9">
        <f t="shared" si="5"/>
        <v>0</v>
      </c>
    </row>
    <row r="113" spans="2:8" ht="17.25" customHeight="1" thickBot="1" x14ac:dyDescent="0.35">
      <c r="B113" s="249" t="str">
        <f>D_M02!B16</f>
        <v xml:space="preserve">        Window 2 – Vinyl Frame Impact Resistance Glass</v>
      </c>
      <c r="C113" s="111"/>
      <c r="D113" s="219">
        <f>D_M02!E16</f>
        <v>0.75</v>
      </c>
      <c r="E113" s="111" t="s">
        <v>63</v>
      </c>
      <c r="F113" s="106" t="s">
        <v>63</v>
      </c>
      <c r="H113" s="9">
        <f t="shared" si="5"/>
        <v>0</v>
      </c>
    </row>
    <row r="114" spans="2:8" ht="17.25" customHeight="1" thickBot="1" x14ac:dyDescent="0.35">
      <c r="B114" s="249" t="str">
        <f>D_M02!B17</f>
        <v>Wall 3 –faces South, Steel Frame</v>
      </c>
      <c r="C114" s="104"/>
      <c r="D114" s="104"/>
      <c r="E114" s="111" t="s">
        <v>63</v>
      </c>
      <c r="F114" s="106" t="s">
        <v>63</v>
      </c>
      <c r="H114" s="9">
        <f t="shared" si="5"/>
        <v>0</v>
      </c>
    </row>
    <row r="115" spans="2:8" ht="17.25" customHeight="1" thickBot="1" x14ac:dyDescent="0.35">
      <c r="B115" s="249" t="str">
        <f>D_M02!B18</f>
        <v xml:space="preserve">        Window 3 – Vinyl Frame Impact Resistance Glass</v>
      </c>
      <c r="C115" s="111"/>
      <c r="D115" s="219">
        <f>D_M02!E18</f>
        <v>0.75</v>
      </c>
      <c r="E115" s="111" t="s">
        <v>63</v>
      </c>
      <c r="F115" s="106" t="s">
        <v>63</v>
      </c>
      <c r="H115" s="9">
        <f t="shared" si="5"/>
        <v>0</v>
      </c>
    </row>
    <row r="116" spans="2:8" ht="17.25" customHeight="1" thickBot="1" x14ac:dyDescent="0.35">
      <c r="B116" s="249" t="str">
        <f>D_M02!B19</f>
        <v xml:space="preserve">Wall 4 –faces South, Wood4 2x4 </v>
      </c>
      <c r="C116" s="104"/>
      <c r="D116" s="104"/>
      <c r="E116" s="111" t="s">
        <v>63</v>
      </c>
      <c r="F116" s="106" t="s">
        <v>63</v>
      </c>
      <c r="H116" s="9">
        <f t="shared" si="5"/>
        <v>0</v>
      </c>
    </row>
    <row r="117" spans="2:8" ht="17.25" customHeight="1" thickBot="1" x14ac:dyDescent="0.35">
      <c r="B117" s="249" t="str">
        <f>D_M02!B20</f>
        <v xml:space="preserve">        Window 4 – Vinyl Frame  Impact Resistance Glass</v>
      </c>
      <c r="C117" s="111"/>
      <c r="D117" s="219">
        <f>D_M02!E20</f>
        <v>0.75</v>
      </c>
      <c r="E117" s="111" t="s">
        <v>63</v>
      </c>
      <c r="F117" s="106" t="s">
        <v>63</v>
      </c>
      <c r="H117" s="9">
        <f t="shared" si="5"/>
        <v>0</v>
      </c>
    </row>
    <row r="118" spans="2:8" ht="17.25" customHeight="1" thickBot="1" x14ac:dyDescent="0.35">
      <c r="B118" s="249" t="str">
        <f>D_M02!B21</f>
        <v>Wall 5 –faces West, Steel Frame</v>
      </c>
      <c r="C118" s="104"/>
      <c r="D118" s="104"/>
      <c r="E118" s="111" t="s">
        <v>63</v>
      </c>
      <c r="F118" s="106" t="s">
        <v>63</v>
      </c>
      <c r="H118" s="9">
        <f t="shared" si="5"/>
        <v>0</v>
      </c>
    </row>
    <row r="119" spans="2:8" ht="17.25" customHeight="1" thickBot="1" x14ac:dyDescent="0.35">
      <c r="B119" s="249" t="str">
        <f>D_M02!B22</f>
        <v xml:space="preserve">        Window 5 – Vinyl Frame Impact Resistance Glass</v>
      </c>
      <c r="C119" s="107"/>
      <c r="D119" s="218">
        <f>D_M02!E22</f>
        <v>0.75</v>
      </c>
      <c r="E119" s="111" t="s">
        <v>63</v>
      </c>
      <c r="F119" s="106" t="s">
        <v>63</v>
      </c>
      <c r="H119" s="9">
        <f t="shared" si="5"/>
        <v>0</v>
      </c>
    </row>
    <row r="120" spans="2:8" thickBot="1" x14ac:dyDescent="0.35">
      <c r="B120" s="249" t="str">
        <f>D_M02!B23</f>
        <v>Infiltration</v>
      </c>
      <c r="C120" s="107"/>
      <c r="D120" s="107"/>
      <c r="E120" s="113"/>
      <c r="F120" s="106" t="str">
        <f>IF(E120="Complies","Pass",IF(E120="Not part of software","Software Doesn't Check","Fail"))</f>
        <v>Fail</v>
      </c>
      <c r="H120" s="9">
        <f t="shared" si="5"/>
        <v>1</v>
      </c>
    </row>
    <row r="121" spans="2:8" ht="15.75" thickBot="1" x14ac:dyDescent="0.3">
      <c r="B121" s="249" t="str">
        <f>D_M02!B24</f>
        <v>Heating – heat pump</v>
      </c>
      <c r="C121" s="107"/>
      <c r="D121" s="107"/>
      <c r="E121" s="114"/>
      <c r="F121" s="106" t="str">
        <f>IF(E121="Complies","Pass",IF(E121="Not part of software","Software Doesn't Check","Fail"))</f>
        <v>Fail</v>
      </c>
      <c r="H121" s="9">
        <f t="shared" si="5"/>
        <v>1</v>
      </c>
    </row>
    <row r="122" spans="2:8" ht="15.75" thickBot="1" x14ac:dyDescent="0.3">
      <c r="B122" s="249" t="str">
        <f>D_M02!B25</f>
        <v>Cooling – heat pump</v>
      </c>
      <c r="C122" s="107"/>
      <c r="D122" s="107"/>
      <c r="E122" s="113"/>
      <c r="F122" s="106" t="str">
        <f>IF(E122="Complies","Pass",IF(E122="Not part of software","Software Doesn't Check","Fail"))</f>
        <v>Fail</v>
      </c>
      <c r="H122" s="9">
        <f t="shared" si="5"/>
        <v>1</v>
      </c>
    </row>
    <row r="123" spans="2:8" ht="15.75" thickBot="1" x14ac:dyDescent="0.3">
      <c r="B123" s="249" t="str">
        <f>D_M02!B26</f>
        <v>Ducts – supply in attic</v>
      </c>
      <c r="C123" s="107"/>
      <c r="D123" s="107"/>
      <c r="E123" s="113"/>
      <c r="F123" s="106" t="str">
        <f>IF(E123="Complies","Pass",IF(E123="Not part of software","Software Doesn't Check","Fail"))</f>
        <v>Fail</v>
      </c>
      <c r="H123" s="9">
        <f t="shared" si="5"/>
        <v>1</v>
      </c>
    </row>
    <row r="124" spans="2:8" ht="15.75" thickBot="1" x14ac:dyDescent="0.3">
      <c r="B124" s="249" t="str">
        <f>D_M02!B27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D_M02!B28</f>
        <v>Duct Tightness</v>
      </c>
      <c r="C125" s="107"/>
      <c r="D125" s="107"/>
      <c r="E125" s="113"/>
      <c r="F125" s="106" t="str">
        <f t="shared" si="6"/>
        <v>Fail</v>
      </c>
      <c r="H125" s="9">
        <f t="shared" si="5"/>
        <v>1</v>
      </c>
    </row>
    <row r="126" spans="2:8" ht="15.75" thickBot="1" x14ac:dyDescent="0.3">
      <c r="B126" s="249" t="str">
        <f>D_M02!B29</f>
        <v>Air Handler – in conditioned space</v>
      </c>
      <c r="C126" s="107"/>
      <c r="D126" s="107"/>
      <c r="E126" s="113"/>
      <c r="F126" s="106" t="str">
        <f t="shared" si="6"/>
        <v>Fail</v>
      </c>
      <c r="H126" s="9">
        <f t="shared" si="5"/>
        <v>1</v>
      </c>
    </row>
    <row r="127" spans="2:8" thickBot="1" x14ac:dyDescent="0.35">
      <c r="B127" s="249" t="str">
        <f>D_M02!B30</f>
        <v>Mechanical Ventilation</v>
      </c>
      <c r="C127" s="107"/>
      <c r="D127" s="107"/>
      <c r="E127" s="104"/>
      <c r="F127" s="106" t="str">
        <f t="shared" si="6"/>
        <v>Fail</v>
      </c>
      <c r="H127" s="9">
        <f t="shared" si="5"/>
        <v>1</v>
      </c>
    </row>
    <row r="128" spans="2:8" thickBot="1" x14ac:dyDescent="0.35">
      <c r="B128" s="249" t="str">
        <f>D_M02!B31</f>
        <v>Hot Water System - electric</v>
      </c>
      <c r="C128" s="107"/>
      <c r="D128" s="107"/>
      <c r="E128" s="113"/>
      <c r="F128" s="106" t="str">
        <f t="shared" si="6"/>
        <v>Fail</v>
      </c>
      <c r="H128" s="9">
        <f t="shared" si="5"/>
        <v>1</v>
      </c>
    </row>
    <row r="129" spans="1:8" thickBot="1" x14ac:dyDescent="0.35">
      <c r="B129" s="249" t="str">
        <f>D_M02!B32</f>
        <v>All Hot Water Lines</v>
      </c>
      <c r="C129" s="107"/>
      <c r="D129" s="107"/>
      <c r="E129" s="113"/>
      <c r="F129" s="106" t="str">
        <f t="shared" si="6"/>
        <v>Fail</v>
      </c>
      <c r="H129" s="9">
        <f t="shared" si="5"/>
        <v>1</v>
      </c>
    </row>
    <row r="130" spans="1:8" thickBot="1" x14ac:dyDescent="0.35">
      <c r="B130" s="249" t="str">
        <f>D_M02!B33</f>
        <v>Hot Water Circulation -none</v>
      </c>
      <c r="C130" s="107"/>
      <c r="D130" s="107"/>
      <c r="E130" s="113"/>
      <c r="F130" s="106" t="str">
        <f t="shared" si="6"/>
        <v>Fail</v>
      </c>
      <c r="H130" s="9">
        <f t="shared" si="5"/>
        <v>1</v>
      </c>
    </row>
    <row r="131" spans="1:8" thickBot="1" x14ac:dyDescent="0.35">
      <c r="B131" s="249" t="str">
        <f>D_M02!B34</f>
        <v>Lighting</v>
      </c>
      <c r="C131" s="107"/>
      <c r="D131" s="107"/>
      <c r="E131" s="113"/>
      <c r="F131" s="106" t="str">
        <f t="shared" si="6"/>
        <v>Fail</v>
      </c>
      <c r="H131" s="9">
        <f t="shared" si="5"/>
        <v>1</v>
      </c>
    </row>
    <row r="132" spans="1:8" thickBot="1" x14ac:dyDescent="0.35">
      <c r="B132" s="249" t="str">
        <f>D_M02!B35</f>
        <v>Pool and Spa - none</v>
      </c>
      <c r="C132" s="107"/>
      <c r="D132" s="107"/>
      <c r="E132" s="113"/>
      <c r="F132" s="106" t="str">
        <f t="shared" si="6"/>
        <v>Fail</v>
      </c>
      <c r="H132" s="9">
        <f t="shared" si="5"/>
        <v>1</v>
      </c>
    </row>
    <row r="133" spans="1:8" thickBot="1" x14ac:dyDescent="0.35">
      <c r="B133" s="250" t="str">
        <f>D_M02!B38</f>
        <v>Area Weighted Fenestration U-Factor Value</v>
      </c>
      <c r="C133" s="107"/>
      <c r="D133" s="107"/>
      <c r="E133" s="111"/>
      <c r="F133" s="106" t="s">
        <v>63</v>
      </c>
      <c r="H133" s="9">
        <f t="shared" si="5"/>
        <v>0</v>
      </c>
    </row>
    <row r="134" spans="1:8" thickBot="1" x14ac:dyDescent="0.35">
      <c r="B134" s="250" t="str">
        <f>D_M02!B39</f>
        <v>Area Weighted Fenestration SHGC Value</v>
      </c>
      <c r="C134" s="107"/>
      <c r="D134" s="107"/>
      <c r="E134" s="104"/>
      <c r="F134" s="106" t="str">
        <f>IF(E134&gt;UA_M02!S27,IF(E134&lt;=UA_M02!S28,"Pass","Fail"),"Fail")</f>
        <v>Fail</v>
      </c>
      <c r="H134" s="9">
        <f t="shared" si="5"/>
        <v>1</v>
      </c>
    </row>
    <row r="135" spans="1:8" thickBot="1" x14ac:dyDescent="0.35">
      <c r="B135" s="250" t="str">
        <f>D_M02!B40</f>
        <v>Total Thermal Envelope UA Value</v>
      </c>
      <c r="C135" s="107"/>
      <c r="D135" s="107"/>
      <c r="E135" s="104"/>
      <c r="F135" s="106" t="str">
        <f>IF(E135&gt;=UA_M02!H27,IF(E135&lt;=UA_M02!H28,"Pass","Fail"),"Fail")</f>
        <v>Fail</v>
      </c>
      <c r="H135" s="9">
        <f t="shared" si="5"/>
        <v>1</v>
      </c>
    </row>
    <row r="136" spans="1:8" thickBot="1" x14ac:dyDescent="0.35">
      <c r="B136" s="250" t="str">
        <f>D_M02!B41</f>
        <v>Area Weighted Fenestration U-Factor Result</v>
      </c>
      <c r="C136" s="107"/>
      <c r="D136" s="107"/>
      <c r="E136" s="111"/>
      <c r="F136" s="106" t="s">
        <v>63</v>
      </c>
      <c r="H136" s="9">
        <f t="shared" si="5"/>
        <v>0</v>
      </c>
    </row>
    <row r="137" spans="1:8" thickBot="1" x14ac:dyDescent="0.35">
      <c r="B137" s="250" t="str">
        <f>D_M02!B42</f>
        <v>Area Weighted Fenestration SHGC Result</v>
      </c>
      <c r="C137" s="107"/>
      <c r="D137" s="107"/>
      <c r="E137" s="104"/>
      <c r="F137" s="106" t="str">
        <f>IF(E137="Complies","Pass","Fail")</f>
        <v>Fail</v>
      </c>
      <c r="H137" s="9">
        <f t="shared" si="5"/>
        <v>1</v>
      </c>
    </row>
    <row r="138" spans="1:8" ht="18" customHeight="1" thickBot="1" x14ac:dyDescent="0.35">
      <c r="B138" s="250" t="str">
        <f>D_M02!B43</f>
        <v>Baseline Thermal Envelope UA Value</v>
      </c>
      <c r="C138" s="107"/>
      <c r="D138" s="107"/>
      <c r="E138" s="104"/>
      <c r="F138" s="106" t="str">
        <f>IF(E138&gt;=UA_M02!J27,IF(E138&lt;=UA_M02!J28,"Pass","Fail"),"Fail")</f>
        <v>Fail</v>
      </c>
      <c r="H138" s="9">
        <f t="shared" si="5"/>
        <v>1</v>
      </c>
    </row>
    <row r="139" spans="1:8" thickBot="1" x14ac:dyDescent="0.35">
      <c r="B139" s="250" t="str">
        <f>D_M02!B44</f>
        <v>Total Thermal Envelope UA Result</v>
      </c>
      <c r="C139" s="107"/>
      <c r="D139" s="107"/>
      <c r="E139" s="104"/>
      <c r="F139" s="106" t="str">
        <f>IF(E139="Total UA too high","Pass","Fail")</f>
        <v>Fail</v>
      </c>
      <c r="H139" s="9">
        <f t="shared" si="5"/>
        <v>1</v>
      </c>
    </row>
    <row r="140" spans="1:8" thickBot="1" x14ac:dyDescent="0.35">
      <c r="B140" s="250" t="str">
        <f>D_M02!B45</f>
        <v>House Complies?</v>
      </c>
      <c r="C140" s="107"/>
      <c r="D140" s="107"/>
      <c r="E140" s="104"/>
      <c r="F140" s="106" t="str">
        <f>IF(E140="No","Pass","Fail")</f>
        <v>Fail</v>
      </c>
      <c r="H140" s="9">
        <f t="shared" si="5"/>
        <v>1</v>
      </c>
    </row>
    <row r="141" spans="1:8" ht="21.6" customHeight="1" x14ac:dyDescent="0.5">
      <c r="E141" s="15" t="s">
        <v>85</v>
      </c>
      <c r="F141" s="16" t="str">
        <f>IF(H141&gt;0,"FAIL","PASS")</f>
        <v>FAIL</v>
      </c>
      <c r="H141" s="258">
        <f xml:space="preserve"> SUM(H105:H140)</f>
        <v>20</v>
      </c>
    </row>
    <row r="142" spans="1:8" ht="8.4499999999999993" customHeight="1" x14ac:dyDescent="0.3">
      <c r="A142" s="14"/>
      <c r="B142" s="14"/>
      <c r="C142" s="14"/>
      <c r="D142" s="14"/>
      <c r="E142" s="14"/>
      <c r="F142" s="14"/>
      <c r="G142" s="14"/>
    </row>
  </sheetData>
  <sheetProtection password="BDDF" sheet="1" objects="1" scenarios="1"/>
  <mergeCells count="3">
    <mergeCell ref="D3:E3"/>
    <mergeCell ref="D52:E52"/>
    <mergeCell ref="D99:E99"/>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6" orientation="portrait" r:id="rId1"/>
  <rowBreaks count="2" manualBreakCount="2">
    <brk id="48" max="5" man="1"/>
    <brk id="95"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57"/>
  <sheetViews>
    <sheetView zoomScaleNormal="100" zoomScaleSheetLayoutView="27" workbookViewId="0">
      <selection activeCell="I19" sqref="I19"/>
    </sheetView>
  </sheetViews>
  <sheetFormatPr defaultColWidth="9.140625" defaultRowHeight="15" x14ac:dyDescent="0.25"/>
  <cols>
    <col min="1" max="1" width="4.5703125" style="33" customWidth="1"/>
    <col min="2" max="2" width="8.28515625" style="33" customWidth="1"/>
    <col min="3" max="3" width="49.85546875" style="33" customWidth="1"/>
    <col min="4" max="4" width="15.7109375" style="33" customWidth="1"/>
    <col min="5" max="5" width="17.85546875" style="33" customWidth="1"/>
    <col min="6" max="6" width="13.28515625" style="33" customWidth="1"/>
    <col min="7" max="7" width="11.5703125" style="33" customWidth="1"/>
    <col min="8" max="8" width="11.28515625" style="33" customWidth="1"/>
    <col min="9" max="10" width="11.140625" style="33" customWidth="1"/>
    <col min="11" max="12" width="12" style="33" customWidth="1"/>
    <col min="13" max="13" width="10.5703125" style="33" customWidth="1"/>
    <col min="14" max="14" width="12" style="33" customWidth="1"/>
    <col min="15" max="15" width="10.140625" style="33" customWidth="1"/>
    <col min="16" max="20" width="12" style="33" customWidth="1"/>
    <col min="21" max="16384" width="9.140625" style="33"/>
  </cols>
  <sheetData>
    <row r="2" spans="2:20" ht="14.45" x14ac:dyDescent="0.3">
      <c r="B2" s="453" t="str">
        <f>D_M02!B2</f>
        <v xml:space="preserve">Prescriptive Test: House M02 (Pr-M02) Characteristics – Location: Miami, Florida. </v>
      </c>
      <c r="C2" s="453"/>
      <c r="D2" s="453"/>
      <c r="E2" s="453"/>
    </row>
    <row r="3" spans="2:20" ht="14.45" x14ac:dyDescent="0.3">
      <c r="B3" s="453" t="str">
        <f>D_M02!B3</f>
        <v>Single Family Detached Home with No Attached Garage, Single Story, Three bedroom.</v>
      </c>
      <c r="C3" s="453"/>
      <c r="D3" s="453"/>
      <c r="E3" s="453"/>
    </row>
    <row r="4" spans="2:20" ht="14.45" x14ac:dyDescent="0.3">
      <c r="E4" s="34"/>
    </row>
    <row r="5" spans="2:20" ht="18.75" customHeight="1" x14ac:dyDescent="0.3">
      <c r="B5" s="32" t="s">
        <v>278</v>
      </c>
      <c r="C5" s="32"/>
      <c r="D5" s="32"/>
      <c r="E5" s="32"/>
      <c r="F5" s="32"/>
      <c r="G5" s="32"/>
      <c r="H5" s="32"/>
      <c r="I5" s="32"/>
      <c r="J5" s="32"/>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8">
        <v>1</v>
      </c>
      <c r="C8" s="225" t="str">
        <f>D_M02!B8</f>
        <v>Raised Floor1</v>
      </c>
      <c r="D8" s="39" t="s">
        <v>30</v>
      </c>
      <c r="E8" s="389">
        <f>D_M02!G8</f>
        <v>2000</v>
      </c>
      <c r="F8" s="390">
        <f>E8</f>
        <v>2000</v>
      </c>
      <c r="G8" s="391">
        <f>D55</f>
        <v>4.8792043927395626E-2</v>
      </c>
      <c r="H8" s="392">
        <f t="shared" ref="H8:H22" si="0">$G8*$F8</f>
        <v>97.58408785479125</v>
      </c>
      <c r="I8" s="393">
        <f>D33</f>
        <v>6.4000000000000001E-2</v>
      </c>
      <c r="J8" s="394">
        <f>$I8*$F8</f>
        <v>128</v>
      </c>
      <c r="K8" s="39"/>
      <c r="L8" s="41"/>
      <c r="M8" s="40"/>
      <c r="N8" s="41"/>
      <c r="O8" s="44"/>
      <c r="P8" s="41"/>
      <c r="Q8" s="44"/>
      <c r="R8" s="41"/>
      <c r="S8" s="44"/>
      <c r="T8" s="41"/>
    </row>
    <row r="9" spans="2:20" ht="15" customHeight="1" x14ac:dyDescent="0.3">
      <c r="B9" s="45">
        <v>2</v>
      </c>
      <c r="C9" s="226" t="str">
        <f>D_M02!B9</f>
        <v>Roof – gable type- 5 in 12 slope No overhangs</v>
      </c>
      <c r="D9" s="47" t="s">
        <v>33</v>
      </c>
      <c r="E9" s="48"/>
      <c r="F9" s="49"/>
      <c r="G9" s="47"/>
      <c r="H9" s="49"/>
      <c r="I9" s="48"/>
      <c r="J9" s="48"/>
      <c r="K9" s="47"/>
      <c r="L9" s="49"/>
      <c r="M9" s="48"/>
      <c r="N9" s="49"/>
      <c r="O9" s="45"/>
      <c r="P9" s="49"/>
      <c r="Q9" s="45"/>
      <c r="R9" s="49"/>
      <c r="S9" s="45"/>
      <c r="T9" s="49"/>
    </row>
    <row r="10" spans="2:20" ht="15" customHeight="1" x14ac:dyDescent="0.3">
      <c r="B10" s="45">
        <v>3</v>
      </c>
      <c r="C10" s="226" t="str">
        <f>D_M02!B10</f>
        <v>Ceiling2 –flat under attic</v>
      </c>
      <c r="D10" s="47" t="s">
        <v>34</v>
      </c>
      <c r="E10" s="135">
        <f>D_M02!G10</f>
        <v>2000</v>
      </c>
      <c r="F10" s="207">
        <f>E10-E11</f>
        <v>1990</v>
      </c>
      <c r="G10" s="208">
        <f>D68</f>
        <v>3.4267920123583803E-2</v>
      </c>
      <c r="H10" s="204">
        <f t="shared" si="0"/>
        <v>68.193161045931774</v>
      </c>
      <c r="I10" s="138">
        <f>D35</f>
        <v>3.5000000000000003E-2</v>
      </c>
      <c r="J10" s="125">
        <f t="shared" ref="J10:J22" si="1">$I10*$F10</f>
        <v>69.650000000000006</v>
      </c>
      <c r="K10" s="51"/>
      <c r="L10" s="50"/>
      <c r="M10" s="48"/>
      <c r="N10" s="49"/>
      <c r="O10" s="45"/>
      <c r="P10" s="49"/>
      <c r="Q10" s="45"/>
      <c r="R10" s="49"/>
      <c r="S10" s="45"/>
      <c r="T10" s="49"/>
    </row>
    <row r="11" spans="2:20" ht="15" customHeight="1" x14ac:dyDescent="0.3">
      <c r="B11" s="45">
        <v>4</v>
      </c>
      <c r="C11" s="226" t="str">
        <f>D_M02!B11</f>
        <v xml:space="preserve">        Skylight</v>
      </c>
      <c r="D11" s="47" t="s">
        <v>35</v>
      </c>
      <c r="E11" s="135">
        <f>D_M02!G11</f>
        <v>10</v>
      </c>
      <c r="F11" s="207">
        <f>E11</f>
        <v>10</v>
      </c>
      <c r="G11" s="208">
        <f>D_M02!E11</f>
        <v>0.75</v>
      </c>
      <c r="H11" s="204">
        <f t="shared" si="0"/>
        <v>7.5</v>
      </c>
      <c r="I11" s="138">
        <f>D38</f>
        <v>0.75</v>
      </c>
      <c r="J11" s="125">
        <f t="shared" si="1"/>
        <v>7.5</v>
      </c>
      <c r="K11" s="203">
        <f>E11</f>
        <v>10</v>
      </c>
      <c r="L11" s="204">
        <f>E11</f>
        <v>10</v>
      </c>
      <c r="M11" s="138">
        <f>$G11</f>
        <v>0.75</v>
      </c>
      <c r="N11" s="204">
        <f>K11*M11</f>
        <v>7.5</v>
      </c>
      <c r="O11" s="136">
        <f>$G11</f>
        <v>0.75</v>
      </c>
      <c r="P11" s="204">
        <f>O11*L11</f>
        <v>7.5</v>
      </c>
      <c r="Q11" s="136">
        <f>D_M02!F11</f>
        <v>0.25</v>
      </c>
      <c r="R11" s="204">
        <f>K11*Q11</f>
        <v>2.5</v>
      </c>
      <c r="S11" s="136">
        <f>$Q11</f>
        <v>0.25</v>
      </c>
      <c r="T11" s="204">
        <f>S11*L11</f>
        <v>2.5</v>
      </c>
    </row>
    <row r="12" spans="2:20" ht="15" customHeight="1" x14ac:dyDescent="0.3">
      <c r="B12" s="45">
        <v>5</v>
      </c>
      <c r="C12" s="226" t="str">
        <f>D_M02!B12</f>
        <v>Wall 1 –faces North, Steel Frame3</v>
      </c>
      <c r="D12" s="47" t="s">
        <v>36</v>
      </c>
      <c r="E12" s="135">
        <f>D_M02!G12</f>
        <v>500</v>
      </c>
      <c r="F12" s="207">
        <f>E12-E13-E14</f>
        <v>401</v>
      </c>
      <c r="G12" s="208">
        <f>D157</f>
        <v>0.16305123494964477</v>
      </c>
      <c r="H12" s="204">
        <f t="shared" si="0"/>
        <v>65.383545214807555</v>
      </c>
      <c r="I12" s="138">
        <f>D36</f>
        <v>8.2000000000000003E-2</v>
      </c>
      <c r="J12" s="125">
        <f t="shared" si="1"/>
        <v>32.881999999999998</v>
      </c>
      <c r="K12" s="203"/>
      <c r="L12" s="204"/>
      <c r="M12" s="135"/>
      <c r="N12" s="205"/>
      <c r="O12" s="101"/>
      <c r="P12" s="205"/>
      <c r="Q12" s="101"/>
      <c r="R12" s="205"/>
      <c r="S12" s="136"/>
      <c r="T12" s="205"/>
    </row>
    <row r="13" spans="2:20" ht="15" customHeight="1" x14ac:dyDescent="0.3">
      <c r="B13" s="45">
        <v>6</v>
      </c>
      <c r="C13" s="226" t="str">
        <f>D_M02!B13</f>
        <v xml:space="preserve">        Door 1 - </v>
      </c>
      <c r="D13" s="47" t="s">
        <v>38</v>
      </c>
      <c r="E13" s="135">
        <f>D_M02!G13</f>
        <v>24</v>
      </c>
      <c r="F13" s="207">
        <f>E13</f>
        <v>24</v>
      </c>
      <c r="G13" s="208">
        <f>D_M02!E13</f>
        <v>0.65</v>
      </c>
      <c r="H13" s="204">
        <f t="shared" si="0"/>
        <v>15.600000000000001</v>
      </c>
      <c r="I13" s="138">
        <f>D39</f>
        <v>0.5</v>
      </c>
      <c r="J13" s="125">
        <f t="shared" si="1"/>
        <v>12</v>
      </c>
      <c r="K13" s="203">
        <f>IF(E13&lt;=Selections!$C$32,0,E13)</f>
        <v>0</v>
      </c>
      <c r="L13" s="204">
        <f>E13</f>
        <v>24</v>
      </c>
      <c r="M13" s="135">
        <v>0</v>
      </c>
      <c r="N13" s="204">
        <f>K13*M13</f>
        <v>0</v>
      </c>
      <c r="O13" s="136">
        <f>$G13</f>
        <v>0.65</v>
      </c>
      <c r="P13" s="204">
        <f>O13*L13</f>
        <v>15.600000000000001</v>
      </c>
      <c r="Q13" s="101">
        <f>D_M02!F13</f>
        <v>0</v>
      </c>
      <c r="R13" s="204">
        <f>K13*Q13</f>
        <v>0</v>
      </c>
      <c r="S13" s="140">
        <f t="shared" ref="S13:S22" si="2">$Q13</f>
        <v>0</v>
      </c>
      <c r="T13" s="204">
        <f>S13*L13</f>
        <v>0</v>
      </c>
    </row>
    <row r="14" spans="2:20" ht="15" customHeight="1" x14ac:dyDescent="0.3">
      <c r="B14" s="45">
        <v>7</v>
      </c>
      <c r="C14" s="226" t="str">
        <f>D_M02!B14</f>
        <v xml:space="preserve">        Window 1 – Vinyl Frame Impact Resistance Glass</v>
      </c>
      <c r="D14" s="47" t="s">
        <v>37</v>
      </c>
      <c r="E14" s="135">
        <f>D_M02!G14</f>
        <v>75</v>
      </c>
      <c r="F14" s="207">
        <f>E14</f>
        <v>75</v>
      </c>
      <c r="G14" s="208">
        <f>D_M02!E14</f>
        <v>0.75</v>
      </c>
      <c r="H14" s="204">
        <f t="shared" si="0"/>
        <v>56.25</v>
      </c>
      <c r="I14" s="138">
        <f>D40</f>
        <v>0.5</v>
      </c>
      <c r="J14" s="125">
        <f t="shared" si="1"/>
        <v>37.5</v>
      </c>
      <c r="K14" s="203">
        <f>IF(E14&lt;=Selections!$C$33,0,E14)</f>
        <v>75</v>
      </c>
      <c r="L14" s="204">
        <f>E14</f>
        <v>75</v>
      </c>
      <c r="M14" s="138">
        <f>$G14</f>
        <v>0.75</v>
      </c>
      <c r="N14" s="204">
        <f>K14*M14</f>
        <v>56.25</v>
      </c>
      <c r="O14" s="136">
        <f>$G14</f>
        <v>0.75</v>
      </c>
      <c r="P14" s="204">
        <f>O14*L14</f>
        <v>56.25</v>
      </c>
      <c r="Q14" s="136">
        <f>D_M02!F14</f>
        <v>0.25</v>
      </c>
      <c r="R14" s="204">
        <f>K14*Q14</f>
        <v>18.75</v>
      </c>
      <c r="S14" s="136">
        <f t="shared" si="2"/>
        <v>0.25</v>
      </c>
      <c r="T14" s="204">
        <f>S14*L14</f>
        <v>18.75</v>
      </c>
    </row>
    <row r="15" spans="2:20" ht="15" customHeight="1" x14ac:dyDescent="0.3">
      <c r="B15" s="45">
        <v>8</v>
      </c>
      <c r="C15" s="226" t="str">
        <f>D_M02!B15</f>
        <v>Wall 2 –faces South, Steel Frame</v>
      </c>
      <c r="D15" s="52" t="s">
        <v>36</v>
      </c>
      <c r="E15" s="135">
        <f>D_M02!G15</f>
        <v>400</v>
      </c>
      <c r="F15" s="207">
        <f>E15-E16</f>
        <v>325</v>
      </c>
      <c r="G15" s="208">
        <f>D157</f>
        <v>0.16305123494964477</v>
      </c>
      <c r="H15" s="204">
        <f t="shared" si="0"/>
        <v>52.991651358634549</v>
      </c>
      <c r="I15" s="138">
        <f>D36</f>
        <v>8.2000000000000003E-2</v>
      </c>
      <c r="J15" s="125">
        <f t="shared" si="1"/>
        <v>26.650000000000002</v>
      </c>
      <c r="K15" s="203"/>
      <c r="L15" s="204"/>
      <c r="M15" s="135"/>
      <c r="N15" s="205"/>
      <c r="O15" s="101"/>
      <c r="P15" s="205"/>
      <c r="Q15" s="101"/>
      <c r="R15" s="205"/>
      <c r="S15" s="136"/>
      <c r="T15" s="205"/>
    </row>
    <row r="16" spans="2:20" ht="15" customHeight="1" x14ac:dyDescent="0.3">
      <c r="B16" s="45">
        <v>9</v>
      </c>
      <c r="C16" s="226" t="str">
        <f>D_M02!B16</f>
        <v xml:space="preserve">        Window 2 – Vinyl Frame Impact Resistance Glass</v>
      </c>
      <c r="D16" s="47" t="s">
        <v>37</v>
      </c>
      <c r="E16" s="135">
        <f>D_M02!G16</f>
        <v>75</v>
      </c>
      <c r="F16" s="207">
        <f>E16</f>
        <v>75</v>
      </c>
      <c r="G16" s="208">
        <f>D_M02!E16</f>
        <v>0.75</v>
      </c>
      <c r="H16" s="204">
        <f t="shared" si="0"/>
        <v>56.25</v>
      </c>
      <c r="I16" s="138">
        <f>D40</f>
        <v>0.5</v>
      </c>
      <c r="J16" s="125">
        <f t="shared" si="1"/>
        <v>37.5</v>
      </c>
      <c r="K16" s="203">
        <f>IF(E16&lt;=Selections!$C$33,0,E16)</f>
        <v>75</v>
      </c>
      <c r="L16" s="204">
        <f>E16</f>
        <v>75</v>
      </c>
      <c r="M16" s="138">
        <f>$G16</f>
        <v>0.75</v>
      </c>
      <c r="N16" s="204">
        <f>K16*M16</f>
        <v>56.25</v>
      </c>
      <c r="O16" s="136">
        <f>$G16</f>
        <v>0.75</v>
      </c>
      <c r="P16" s="204">
        <f>O16*L16</f>
        <v>56.25</v>
      </c>
      <c r="Q16" s="136">
        <f>D_M02!F16</f>
        <v>0.25</v>
      </c>
      <c r="R16" s="204">
        <f>K16*Q16</f>
        <v>18.75</v>
      </c>
      <c r="S16" s="136">
        <f t="shared" si="2"/>
        <v>0.25</v>
      </c>
      <c r="T16" s="204">
        <f>S16*L16</f>
        <v>18.75</v>
      </c>
    </row>
    <row r="17" spans="2:20" ht="15" customHeight="1" x14ac:dyDescent="0.3">
      <c r="B17" s="45">
        <v>10</v>
      </c>
      <c r="C17" s="226" t="str">
        <f>D_M02!B17</f>
        <v>Wall 3 –faces South, Steel Frame</v>
      </c>
      <c r="D17" s="47" t="s">
        <v>36</v>
      </c>
      <c r="E17" s="135">
        <f>D_M02!G17</f>
        <v>400</v>
      </c>
      <c r="F17" s="207">
        <f>E17-E18</f>
        <v>385</v>
      </c>
      <c r="G17" s="208">
        <f>D157</f>
        <v>0.16305123494964477</v>
      </c>
      <c r="H17" s="204">
        <f t="shared" si="0"/>
        <v>62.774725455613236</v>
      </c>
      <c r="I17" s="138">
        <f>D36</f>
        <v>8.2000000000000003E-2</v>
      </c>
      <c r="J17" s="125">
        <f t="shared" si="1"/>
        <v>31.57</v>
      </c>
      <c r="K17" s="203"/>
      <c r="L17" s="204"/>
      <c r="M17" s="135"/>
      <c r="N17" s="205"/>
      <c r="O17" s="101"/>
      <c r="P17" s="205"/>
      <c r="Q17" s="101"/>
      <c r="R17" s="205"/>
      <c r="S17" s="136"/>
      <c r="T17" s="205"/>
    </row>
    <row r="18" spans="2:20" ht="15" customHeight="1" x14ac:dyDescent="0.3">
      <c r="B18" s="45">
        <v>11</v>
      </c>
      <c r="C18" s="226" t="str">
        <f>D_M02!B18</f>
        <v xml:space="preserve">        Window 3 – Vinyl Frame Impact Resistance Glass</v>
      </c>
      <c r="D18" s="47" t="s">
        <v>37</v>
      </c>
      <c r="E18" s="135">
        <f>D_M02!G18</f>
        <v>15</v>
      </c>
      <c r="F18" s="207">
        <f>E18</f>
        <v>15</v>
      </c>
      <c r="G18" s="208">
        <f>D_M02!E18</f>
        <v>0.75</v>
      </c>
      <c r="H18" s="204">
        <f t="shared" si="0"/>
        <v>11.25</v>
      </c>
      <c r="I18" s="138">
        <f>D40</f>
        <v>0.5</v>
      </c>
      <c r="J18" s="125">
        <f t="shared" si="1"/>
        <v>7.5</v>
      </c>
      <c r="K18" s="203">
        <f>IF(E18&lt;=Selections!$C$33,0,E18)</f>
        <v>0</v>
      </c>
      <c r="L18" s="204">
        <f>E18</f>
        <v>15</v>
      </c>
      <c r="M18" s="138">
        <f>$G18</f>
        <v>0.75</v>
      </c>
      <c r="N18" s="204">
        <f>K18*M18</f>
        <v>0</v>
      </c>
      <c r="O18" s="136">
        <f>$G18</f>
        <v>0.75</v>
      </c>
      <c r="P18" s="204">
        <f>O18*L18</f>
        <v>11.25</v>
      </c>
      <c r="Q18" s="136">
        <f>D_M02!F18</f>
        <v>0.25</v>
      </c>
      <c r="R18" s="204">
        <f>K18*Q18</f>
        <v>0</v>
      </c>
      <c r="S18" s="136">
        <f t="shared" si="2"/>
        <v>0.25</v>
      </c>
      <c r="T18" s="204">
        <f>S18*L18</f>
        <v>3.75</v>
      </c>
    </row>
    <row r="19" spans="2:20" ht="15" customHeight="1" x14ac:dyDescent="0.3">
      <c r="B19" s="45">
        <v>12</v>
      </c>
      <c r="C19" s="226" t="str">
        <f>D_M02!B19</f>
        <v xml:space="preserve">Wall 4 –faces South, Wood4 2x4 </v>
      </c>
      <c r="D19" s="47" t="s">
        <v>36</v>
      </c>
      <c r="E19" s="135">
        <f>D_M02!G19</f>
        <v>100</v>
      </c>
      <c r="F19" s="207">
        <f>E19-E20</f>
        <v>40</v>
      </c>
      <c r="G19" s="208">
        <f>D84</f>
        <v>8.6865673938545357E-2</v>
      </c>
      <c r="H19" s="204">
        <f t="shared" si="0"/>
        <v>3.4746269575418145</v>
      </c>
      <c r="I19" s="138">
        <f>D37</f>
        <v>8.2000000000000003E-2</v>
      </c>
      <c r="J19" s="125">
        <f t="shared" si="1"/>
        <v>3.2800000000000002</v>
      </c>
      <c r="K19" s="203"/>
      <c r="L19" s="204"/>
      <c r="M19" s="135"/>
      <c r="N19" s="205"/>
      <c r="O19" s="101"/>
      <c r="P19" s="205"/>
      <c r="Q19" s="101"/>
      <c r="R19" s="205"/>
      <c r="S19" s="136"/>
      <c r="T19" s="205"/>
    </row>
    <row r="20" spans="2:20" ht="15" customHeight="1" x14ac:dyDescent="0.3">
      <c r="B20" s="45">
        <v>13</v>
      </c>
      <c r="C20" s="226" t="str">
        <f>D_M02!B20</f>
        <v xml:space="preserve">        Window 4 – Vinyl Frame  Impact Resistance Glass</v>
      </c>
      <c r="D20" s="47" t="s">
        <v>37</v>
      </c>
      <c r="E20" s="135">
        <f>D_M02!G20</f>
        <v>60</v>
      </c>
      <c r="F20" s="207">
        <f>E20</f>
        <v>60</v>
      </c>
      <c r="G20" s="208">
        <f>D_M02!E20</f>
        <v>0.75</v>
      </c>
      <c r="H20" s="204">
        <f t="shared" si="0"/>
        <v>45</v>
      </c>
      <c r="I20" s="138">
        <f>D40</f>
        <v>0.5</v>
      </c>
      <c r="J20" s="125">
        <f t="shared" si="1"/>
        <v>30</v>
      </c>
      <c r="K20" s="203">
        <f>IF(E20&lt;=Selections!$C$33,0,E20)</f>
        <v>60</v>
      </c>
      <c r="L20" s="204">
        <f>E20</f>
        <v>60</v>
      </c>
      <c r="M20" s="138">
        <f>$G20</f>
        <v>0.75</v>
      </c>
      <c r="N20" s="204">
        <f>K20*M20</f>
        <v>45</v>
      </c>
      <c r="O20" s="136">
        <f>$G20</f>
        <v>0.75</v>
      </c>
      <c r="P20" s="204">
        <f>O20*L20</f>
        <v>45</v>
      </c>
      <c r="Q20" s="136">
        <f>D_M02!F20</f>
        <v>0.25</v>
      </c>
      <c r="R20" s="204">
        <f>K20*Q20</f>
        <v>15</v>
      </c>
      <c r="S20" s="136">
        <f t="shared" si="2"/>
        <v>0.25</v>
      </c>
      <c r="T20" s="204">
        <f>S20*L20</f>
        <v>15</v>
      </c>
    </row>
    <row r="21" spans="2:20" ht="15" customHeight="1" x14ac:dyDescent="0.3">
      <c r="B21" s="45">
        <v>14</v>
      </c>
      <c r="C21" s="226" t="str">
        <f>D_M02!B21</f>
        <v>Wall 5 –faces West, Steel Frame</v>
      </c>
      <c r="D21" s="47" t="s">
        <v>36</v>
      </c>
      <c r="E21" s="135">
        <f>D_M02!G21</f>
        <v>400</v>
      </c>
      <c r="F21" s="207">
        <f>E21-E22</f>
        <v>325</v>
      </c>
      <c r="G21" s="208">
        <f>D157</f>
        <v>0.16305123494964477</v>
      </c>
      <c r="H21" s="204">
        <f t="shared" si="0"/>
        <v>52.991651358634549</v>
      </c>
      <c r="I21" s="138">
        <f>D36</f>
        <v>8.2000000000000003E-2</v>
      </c>
      <c r="J21" s="125">
        <f t="shared" si="1"/>
        <v>26.650000000000002</v>
      </c>
      <c r="K21" s="203"/>
      <c r="L21" s="204"/>
      <c r="M21" s="135"/>
      <c r="N21" s="205"/>
      <c r="O21" s="101"/>
      <c r="P21" s="205"/>
      <c r="Q21" s="101"/>
      <c r="R21" s="205"/>
      <c r="S21" s="136"/>
      <c r="T21" s="205"/>
    </row>
    <row r="22" spans="2:20" ht="15" customHeight="1" x14ac:dyDescent="0.3">
      <c r="B22" s="53">
        <v>15</v>
      </c>
      <c r="C22" s="227" t="str">
        <f>D_M02!B22</f>
        <v xml:space="preserve">        Window 5 – Vinyl Frame Impact Resistance Glass</v>
      </c>
      <c r="D22" s="54" t="s">
        <v>37</v>
      </c>
      <c r="E22" s="209">
        <f>D_M02!G22</f>
        <v>75</v>
      </c>
      <c r="F22" s="210">
        <f>E22</f>
        <v>75</v>
      </c>
      <c r="G22" s="211">
        <f>D_M02!E22</f>
        <v>0.75</v>
      </c>
      <c r="H22" s="206">
        <f t="shared" si="0"/>
        <v>56.25</v>
      </c>
      <c r="I22" s="126">
        <f>D40</f>
        <v>0.5</v>
      </c>
      <c r="J22" s="212">
        <f t="shared" si="1"/>
        <v>37.5</v>
      </c>
      <c r="K22" s="203">
        <f>IF(E22&lt;=Selections!$C$33,0,E22)</f>
        <v>75</v>
      </c>
      <c r="L22" s="206">
        <f>E22</f>
        <v>75</v>
      </c>
      <c r="M22" s="138">
        <f>$G22</f>
        <v>0.75</v>
      </c>
      <c r="N22" s="204">
        <f>K22*M22</f>
        <v>56.25</v>
      </c>
      <c r="O22" s="136">
        <f>$G22</f>
        <v>0.75</v>
      </c>
      <c r="P22" s="204">
        <f>O22*L22</f>
        <v>56.25</v>
      </c>
      <c r="Q22" s="136">
        <f>D_M02!F22</f>
        <v>0.25</v>
      </c>
      <c r="R22" s="204">
        <f>K22*Q22</f>
        <v>18.75</v>
      </c>
      <c r="S22" s="136">
        <f t="shared" si="2"/>
        <v>0.25</v>
      </c>
      <c r="T22" s="204">
        <f>S22*L22</f>
        <v>18.75</v>
      </c>
    </row>
    <row r="23" spans="2:20" ht="3.75" customHeight="1" x14ac:dyDescent="0.3">
      <c r="B23" s="35"/>
      <c r="C23" s="55"/>
      <c r="D23" s="56"/>
      <c r="E23" s="37"/>
      <c r="F23" s="57"/>
      <c r="G23" s="56"/>
      <c r="H23" s="57"/>
      <c r="I23" s="37"/>
      <c r="J23" s="37"/>
      <c r="K23" s="56"/>
      <c r="L23" s="57"/>
      <c r="M23" s="58"/>
      <c r="N23" s="59"/>
      <c r="O23" s="55"/>
      <c r="P23" s="59"/>
      <c r="Q23" s="55"/>
      <c r="R23" s="59"/>
      <c r="S23" s="55"/>
      <c r="T23" s="59"/>
    </row>
    <row r="24" spans="2:20" ht="15.6" x14ac:dyDescent="0.3">
      <c r="B24" s="60"/>
      <c r="C24" s="61" t="s">
        <v>134</v>
      </c>
      <c r="D24" s="62"/>
      <c r="E24" s="58"/>
      <c r="F24" s="59"/>
      <c r="G24" s="62"/>
      <c r="H24" s="456">
        <f>SUM(H8:H22)</f>
        <v>651.49344924595471</v>
      </c>
      <c r="I24" s="463"/>
      <c r="J24" s="458">
        <f>SUM(J8:J22)</f>
        <v>488.18199999999996</v>
      </c>
      <c r="K24" s="459">
        <f>SUM(K10:K22)</f>
        <v>295</v>
      </c>
      <c r="L24" s="456">
        <f>SUM(L10:L22)</f>
        <v>334</v>
      </c>
      <c r="M24" s="460">
        <f>N24/K24</f>
        <v>0.75</v>
      </c>
      <c r="N24" s="456">
        <f>SUM(N10:N22)</f>
        <v>221.25</v>
      </c>
      <c r="O24" s="461">
        <f>P24/L24</f>
        <v>0.74281437125748506</v>
      </c>
      <c r="P24" s="456">
        <f>SUM(P10:P22)</f>
        <v>248.1</v>
      </c>
      <c r="Q24" s="461">
        <f>R24/K24</f>
        <v>0.25</v>
      </c>
      <c r="R24" s="456">
        <f>SUM(R10:R22)</f>
        <v>73.75</v>
      </c>
      <c r="S24" s="461">
        <f>T24/(L24-L13)</f>
        <v>0.25</v>
      </c>
      <c r="T24" s="456">
        <f>SUM(T10:T22)</f>
        <v>77.5</v>
      </c>
    </row>
    <row r="25" spans="2:20" ht="9.75" customHeight="1" x14ac:dyDescent="0.3">
      <c r="B25" s="63"/>
      <c r="C25" s="64"/>
      <c r="D25" s="65"/>
      <c r="E25" s="65"/>
      <c r="F25" s="65"/>
      <c r="G25" s="65"/>
      <c r="H25" s="66"/>
      <c r="I25" s="67"/>
      <c r="J25" s="66"/>
      <c r="K25" s="66"/>
      <c r="L25" s="66"/>
      <c r="M25" s="68"/>
      <c r="N25" s="66"/>
      <c r="O25" s="68"/>
      <c r="P25" s="66"/>
      <c r="Q25" s="68"/>
      <c r="R25" s="66"/>
      <c r="S25" s="68"/>
      <c r="T25" s="66"/>
    </row>
    <row r="26" spans="2:20" ht="45" customHeight="1" x14ac:dyDescent="0.3">
      <c r="B26" s="63"/>
      <c r="C26" s="214" t="str">
        <f>Selections!B25</f>
        <v>UA allowed deviation range in %</v>
      </c>
      <c r="D26" s="223">
        <f>Selections!C25</f>
        <v>0.02</v>
      </c>
      <c r="E26" s="70"/>
      <c r="G26" s="34"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34" t="s">
        <v>138</v>
      </c>
      <c r="H27" s="213">
        <f>H24-(H24*$D$26)</f>
        <v>638.46358026103564</v>
      </c>
      <c r="J27" s="213">
        <f>J24-(J24*$D$26)</f>
        <v>478.41835999999995</v>
      </c>
      <c r="K27" s="214"/>
      <c r="L27" s="214"/>
      <c r="M27" s="215">
        <f>M$24-$D$27</f>
        <v>0.745</v>
      </c>
      <c r="N27" s="216">
        <f>N$24-$D$26*N$24</f>
        <v>216.82499999999999</v>
      </c>
      <c r="O27" s="217">
        <f>O$24-$D$27</f>
        <v>0.73781437125748506</v>
      </c>
      <c r="P27" s="216">
        <f>P$24-$D$26*P$24</f>
        <v>243.13800000000001</v>
      </c>
      <c r="Q27" s="217">
        <f>Q$24-$D$28</f>
        <v>0.245</v>
      </c>
      <c r="R27" s="216">
        <f>R$24-$D$26*R$24</f>
        <v>72.275000000000006</v>
      </c>
      <c r="S27" s="217">
        <f>S$24-$D$28</f>
        <v>0.245</v>
      </c>
      <c r="T27" s="216">
        <f>T$24-$D$26*T$24</f>
        <v>75.95</v>
      </c>
    </row>
    <row r="28" spans="2:20" ht="14.45" x14ac:dyDescent="0.3">
      <c r="C28" s="214" t="str">
        <f>Selections!B27</f>
        <v>SHGC allowed deviation range absolute</v>
      </c>
      <c r="D28" s="224">
        <f>Selections!C27</f>
        <v>5.0000000000000001E-3</v>
      </c>
      <c r="G28" s="34" t="s">
        <v>140</v>
      </c>
      <c r="H28" s="213">
        <f>H24*(1+$D$26)</f>
        <v>664.52331823087377</v>
      </c>
      <c r="J28" s="213">
        <f>J24*(1+$D$26)</f>
        <v>497.94563999999997</v>
      </c>
      <c r="K28" s="214"/>
      <c r="L28" s="214"/>
      <c r="M28" s="215">
        <f>M$24+$D$27</f>
        <v>0.755</v>
      </c>
      <c r="N28" s="216">
        <f>N$24+$D$26*N$24</f>
        <v>225.67500000000001</v>
      </c>
      <c r="O28" s="217">
        <f>O$24+$D$28</f>
        <v>0.74781437125748507</v>
      </c>
      <c r="P28" s="216">
        <f>P$24+$D$26*P$24</f>
        <v>253.06199999999998</v>
      </c>
      <c r="Q28" s="217">
        <f>Q$24+$D$28</f>
        <v>0.255</v>
      </c>
      <c r="R28" s="216">
        <f>R$24+$D$26*R$24</f>
        <v>75.224999999999994</v>
      </c>
      <c r="S28" s="217">
        <f>S$24+$D$28</f>
        <v>0.255</v>
      </c>
      <c r="T28" s="216">
        <f>T$24+$D$26*T$24</f>
        <v>79.05</v>
      </c>
    </row>
    <row r="29" spans="2:20" ht="14.45" x14ac:dyDescent="0.3">
      <c r="D29" s="34"/>
      <c r="G29" s="34"/>
      <c r="I29" s="71"/>
      <c r="J29" s="71"/>
      <c r="M29" s="72"/>
      <c r="N29" s="73"/>
      <c r="O29" s="74"/>
      <c r="P29" s="73"/>
      <c r="Q29" s="74"/>
      <c r="R29" s="73"/>
      <c r="S29" s="74"/>
      <c r="T29" s="73"/>
    </row>
    <row r="30" spans="2:20" ht="13.5" customHeight="1" x14ac:dyDescent="0.3">
      <c r="B30" s="33" t="s">
        <v>242</v>
      </c>
    </row>
    <row r="31" spans="2:20" ht="19.5" customHeight="1" x14ac:dyDescent="0.3">
      <c r="B31" s="241" t="s">
        <v>261</v>
      </c>
      <c r="C31" s="61"/>
      <c r="D31" s="242"/>
      <c r="E31" s="65"/>
      <c r="F31" s="65"/>
      <c r="G31" s="65"/>
      <c r="H31" s="67"/>
      <c r="I31" s="73"/>
      <c r="J31" s="73"/>
      <c r="K31" s="73"/>
      <c r="L31" s="73"/>
      <c r="M31" s="74"/>
      <c r="N31" s="73"/>
      <c r="O31" s="74"/>
      <c r="P31" s="73"/>
      <c r="Q31" s="74"/>
      <c r="R31" s="73"/>
      <c r="S31" s="74"/>
      <c r="T31" s="73"/>
    </row>
    <row r="32" spans="2:20" ht="43.5" customHeight="1" x14ac:dyDescent="0.3">
      <c r="B32" s="75"/>
      <c r="C32" s="76" t="s">
        <v>141</v>
      </c>
      <c r="D32" s="77" t="s">
        <v>234</v>
      </c>
      <c r="F32" s="70"/>
      <c r="G32" s="70"/>
      <c r="H32" s="70"/>
    </row>
    <row r="33" spans="2:8" ht="14.45" x14ac:dyDescent="0.3">
      <c r="B33" s="79">
        <v>1</v>
      </c>
      <c r="C33" s="80" t="s">
        <v>30</v>
      </c>
      <c r="D33" s="94">
        <v>6.4000000000000001E-2</v>
      </c>
    </row>
    <row r="34" spans="2:8" ht="14.45" x14ac:dyDescent="0.3">
      <c r="B34" s="79">
        <v>2</v>
      </c>
      <c r="C34" s="80" t="s">
        <v>33</v>
      </c>
      <c r="D34" s="94"/>
    </row>
    <row r="35" spans="2:8" ht="14.45" x14ac:dyDescent="0.3">
      <c r="B35" s="79">
        <v>3</v>
      </c>
      <c r="C35" s="285" t="s">
        <v>419</v>
      </c>
      <c r="D35" s="94">
        <v>3.5000000000000003E-2</v>
      </c>
    </row>
    <row r="36" spans="2:8" ht="14.45" x14ac:dyDescent="0.3">
      <c r="B36" s="79">
        <v>4</v>
      </c>
      <c r="C36" s="80" t="s">
        <v>420</v>
      </c>
      <c r="D36" s="395">
        <v>8.2000000000000003E-2</v>
      </c>
    </row>
    <row r="37" spans="2:8" ht="14.45" x14ac:dyDescent="0.3">
      <c r="B37" s="79">
        <v>5</v>
      </c>
      <c r="C37" s="80" t="s">
        <v>144</v>
      </c>
      <c r="D37" s="94">
        <v>8.2000000000000003E-2</v>
      </c>
    </row>
    <row r="38" spans="2:8" ht="14.45" x14ac:dyDescent="0.3">
      <c r="B38" s="79">
        <v>6</v>
      </c>
      <c r="C38" s="80" t="s">
        <v>35</v>
      </c>
      <c r="D38" s="92">
        <v>0.75</v>
      </c>
    </row>
    <row r="39" spans="2:8" ht="14.45" x14ac:dyDescent="0.3">
      <c r="B39" s="79">
        <v>7</v>
      </c>
      <c r="C39" s="80" t="s">
        <v>38</v>
      </c>
      <c r="D39" s="92">
        <v>0.5</v>
      </c>
    </row>
    <row r="40" spans="2:8" ht="14.45" x14ac:dyDescent="0.3">
      <c r="B40" s="84">
        <v>8</v>
      </c>
      <c r="C40" s="85" t="s">
        <v>145</v>
      </c>
      <c r="D40" s="150">
        <v>0.5</v>
      </c>
    </row>
    <row r="41" spans="2:8" ht="13.5" customHeight="1" x14ac:dyDescent="0.3">
      <c r="B41" s="48"/>
    </row>
    <row r="42" spans="2:8" s="307" customFormat="1" ht="13.5" customHeight="1" x14ac:dyDescent="0.3">
      <c r="B42" s="265"/>
    </row>
    <row r="43" spans="2:8" s="307" customFormat="1" ht="39.75" customHeight="1" x14ac:dyDescent="0.25">
      <c r="C43" s="259" t="s">
        <v>369</v>
      </c>
    </row>
    <row r="44" spans="2:8" s="307" customFormat="1" ht="13.5" customHeight="1" x14ac:dyDescent="0.3">
      <c r="B44" s="279" t="s">
        <v>30</v>
      </c>
      <c r="C44" s="278" t="s">
        <v>370</v>
      </c>
      <c r="D44" s="332"/>
      <c r="E44" s="279"/>
      <c r="F44" s="318"/>
      <c r="G44" s="319"/>
      <c r="H44" s="320"/>
    </row>
    <row r="45" spans="2:8" s="307" customFormat="1" ht="31.5" customHeight="1" x14ac:dyDescent="0.3">
      <c r="B45" s="318"/>
      <c r="C45" s="296" t="s">
        <v>146</v>
      </c>
      <c r="D45" s="297" t="s">
        <v>147</v>
      </c>
      <c r="E45" s="298" t="s">
        <v>148</v>
      </c>
      <c r="F45" s="305" t="s">
        <v>149</v>
      </c>
      <c r="G45" s="319"/>
      <c r="H45" s="320"/>
    </row>
    <row r="46" spans="2:8" s="307" customFormat="1" ht="13.5" customHeight="1" x14ac:dyDescent="0.3">
      <c r="B46" s="318"/>
      <c r="C46" s="296" t="s">
        <v>371</v>
      </c>
      <c r="D46" s="231">
        <f>1-D_M02!C52</f>
        <v>0.85</v>
      </c>
      <c r="E46" s="118">
        <f>D_M02!C52</f>
        <v>0.15</v>
      </c>
      <c r="F46" s="319"/>
      <c r="G46" s="319"/>
      <c r="H46" s="320"/>
    </row>
    <row r="47" spans="2:8" s="307" customFormat="1" ht="13.5" customHeight="1" x14ac:dyDescent="0.3">
      <c r="B47" s="264">
        <v>1</v>
      </c>
      <c r="C47" s="321" t="s">
        <v>372</v>
      </c>
      <c r="D47" s="299">
        <f>D_M02!C54</f>
        <v>1.02</v>
      </c>
      <c r="E47" s="300">
        <f>D_M02!C54</f>
        <v>1.02</v>
      </c>
      <c r="F47" s="322" t="s">
        <v>166</v>
      </c>
      <c r="G47" s="322"/>
      <c r="H47" s="323"/>
    </row>
    <row r="48" spans="2:8" s="307" customFormat="1" ht="13.5" customHeight="1" x14ac:dyDescent="0.3">
      <c r="B48" s="264">
        <v>2</v>
      </c>
      <c r="C48" s="321" t="s">
        <v>373</v>
      </c>
      <c r="D48" s="125">
        <f>D_M02!C55</f>
        <v>19</v>
      </c>
      <c r="E48" s="384">
        <v>0</v>
      </c>
      <c r="F48" s="322"/>
      <c r="G48" s="322"/>
      <c r="H48" s="323"/>
    </row>
    <row r="49" spans="2:8" s="307" customFormat="1" ht="13.5" customHeight="1" x14ac:dyDescent="0.3">
      <c r="B49" s="264">
        <v>3</v>
      </c>
      <c r="C49" s="334" t="s">
        <v>374</v>
      </c>
      <c r="D49" s="385">
        <v>0</v>
      </c>
      <c r="E49" s="386">
        <f>D_M02!C56</f>
        <v>6.88</v>
      </c>
      <c r="F49" s="322" t="s">
        <v>163</v>
      </c>
      <c r="G49" s="322"/>
      <c r="H49" s="323"/>
    </row>
    <row r="50" spans="2:8" s="307" customFormat="1" ht="13.5" customHeight="1" x14ac:dyDescent="0.3">
      <c r="B50" s="264">
        <v>4</v>
      </c>
      <c r="C50" s="335" t="s">
        <v>375</v>
      </c>
      <c r="D50" s="299">
        <f>D_M02!C57</f>
        <v>1.08</v>
      </c>
      <c r="E50" s="300">
        <f>D_M02!C57</f>
        <v>1.08</v>
      </c>
      <c r="F50" s="322" t="s">
        <v>155</v>
      </c>
      <c r="G50" s="322"/>
      <c r="H50" s="323"/>
    </row>
    <row r="51" spans="2:8" s="307" customFormat="1" ht="13.5" customHeight="1" x14ac:dyDescent="0.3">
      <c r="B51" s="264">
        <v>5</v>
      </c>
      <c r="C51" s="335" t="s">
        <v>376</v>
      </c>
      <c r="D51" s="299">
        <f>D_M02!C58</f>
        <v>2</v>
      </c>
      <c r="E51" s="300">
        <f>D_M02!C58</f>
        <v>2</v>
      </c>
      <c r="F51" s="322"/>
      <c r="G51" s="322"/>
      <c r="H51" s="323"/>
    </row>
    <row r="52" spans="2:8" s="307" customFormat="1" ht="13.5" customHeight="1" x14ac:dyDescent="0.3">
      <c r="B52" s="264">
        <v>6</v>
      </c>
      <c r="C52" s="335" t="s">
        <v>156</v>
      </c>
      <c r="D52" s="299">
        <f>D_M02!C59</f>
        <v>0.61</v>
      </c>
      <c r="E52" s="300">
        <f>D_M02!C59</f>
        <v>0.61</v>
      </c>
      <c r="F52" s="322" t="s">
        <v>157</v>
      </c>
      <c r="G52" s="322"/>
      <c r="H52" s="323"/>
    </row>
    <row r="53" spans="2:8" s="307" customFormat="1" ht="13.5" customHeight="1" x14ac:dyDescent="0.3">
      <c r="B53" s="264"/>
      <c r="C53" s="321" t="s">
        <v>158</v>
      </c>
      <c r="D53" s="299">
        <f>SUM(D47:D52)</f>
        <v>23.71</v>
      </c>
      <c r="E53" s="300">
        <f>SUM(E47:E52)</f>
        <v>11.59</v>
      </c>
      <c r="F53" s="322"/>
      <c r="G53" s="322"/>
      <c r="H53" s="323"/>
    </row>
    <row r="54" spans="2:8" s="307" customFormat="1" ht="13.5" customHeight="1" x14ac:dyDescent="0.3">
      <c r="B54" s="277"/>
      <c r="C54" s="325" t="s">
        <v>159</v>
      </c>
      <c r="D54" s="126">
        <f>1/D53</f>
        <v>4.217629692113032E-2</v>
      </c>
      <c r="E54" s="123">
        <f>1/E53</f>
        <v>8.6281276962899056E-2</v>
      </c>
      <c r="F54" s="326"/>
      <c r="G54" s="326"/>
      <c r="H54" s="327"/>
    </row>
    <row r="55" spans="2:8" s="307" customFormat="1" ht="13.5" customHeight="1" x14ac:dyDescent="0.3">
      <c r="B55" s="264"/>
      <c r="C55" s="321" t="s">
        <v>160</v>
      </c>
      <c r="D55" s="138">
        <f>D54*D46+E54*E46</f>
        <v>4.8792043927395626E-2</v>
      </c>
      <c r="E55" s="387"/>
      <c r="F55" s="308"/>
      <c r="G55" s="322"/>
      <c r="H55" s="323"/>
    </row>
    <row r="56" spans="2:8" s="307" customFormat="1" ht="13.5" customHeight="1" x14ac:dyDescent="0.3">
      <c r="B56" s="277"/>
      <c r="C56" s="325" t="s">
        <v>161</v>
      </c>
      <c r="D56" s="212">
        <f>1/D55</f>
        <v>20.495144689737472</v>
      </c>
      <c r="E56" s="388"/>
      <c r="F56" s="324"/>
      <c r="G56" s="326"/>
      <c r="H56" s="327"/>
    </row>
    <row r="57" spans="2:8" ht="13.5" customHeight="1" x14ac:dyDescent="0.3">
      <c r="B57" s="48"/>
    </row>
    <row r="58" spans="2:8" ht="30.75" customHeight="1" x14ac:dyDescent="0.3">
      <c r="B58" s="33" t="s">
        <v>34</v>
      </c>
      <c r="C58" s="89" t="s">
        <v>241</v>
      </c>
    </row>
    <row r="59" spans="2:8" ht="31.5" customHeight="1" x14ac:dyDescent="0.3">
      <c r="B59" s="35"/>
      <c r="C59" s="90" t="s">
        <v>146</v>
      </c>
      <c r="D59" s="100" t="s">
        <v>147</v>
      </c>
      <c r="E59" s="160" t="s">
        <v>148</v>
      </c>
      <c r="F59" s="55" t="s">
        <v>142</v>
      </c>
      <c r="G59" s="58"/>
      <c r="H59" s="78"/>
    </row>
    <row r="60" spans="2:8" ht="14.45" x14ac:dyDescent="0.3">
      <c r="B60" s="35"/>
      <c r="C60" s="296" t="s">
        <v>395</v>
      </c>
      <c r="D60" s="124">
        <f>1-D_M02!C65</f>
        <v>0.92999999999999994</v>
      </c>
      <c r="E60" s="141">
        <f>D_M02!C65</f>
        <v>7.0000000000000007E-2</v>
      </c>
      <c r="G60" s="70"/>
      <c r="H60" s="83"/>
    </row>
    <row r="61" spans="2:8" ht="15.75" customHeight="1" x14ac:dyDescent="0.3">
      <c r="B61" s="45">
        <v>1</v>
      </c>
      <c r="C61" s="239" t="str">
        <f>D_M02!B68</f>
        <v>Attic Air film</v>
      </c>
      <c r="D61" s="91">
        <f>D_M02!C68</f>
        <v>0.61</v>
      </c>
      <c r="E61" s="142">
        <f>D_M02!C68</f>
        <v>0.61</v>
      </c>
      <c r="F61" s="46"/>
      <c r="G61" s="70"/>
      <c r="H61" s="83"/>
    </row>
    <row r="62" spans="2:8" ht="15.75" customHeight="1" x14ac:dyDescent="0.3">
      <c r="B62" s="45">
        <v>2</v>
      </c>
      <c r="C62" s="239" t="str">
        <f>D_M02!B69</f>
        <v>Batt Insulation R38</v>
      </c>
      <c r="D62" s="120">
        <f>D_M02!C69</f>
        <v>38</v>
      </c>
      <c r="E62" s="143">
        <v>0</v>
      </c>
      <c r="F62" s="82"/>
      <c r="G62" s="70"/>
      <c r="H62" s="83"/>
    </row>
    <row r="63" spans="2:8" ht="15.75" customHeight="1" x14ac:dyDescent="0.3">
      <c r="B63" s="45">
        <v>3</v>
      </c>
      <c r="C63" s="239" t="str">
        <f>D_M02!B70</f>
        <v>Wood Stud 2 x 4: Nominal</v>
      </c>
      <c r="D63" s="120">
        <v>0</v>
      </c>
      <c r="E63" s="142">
        <f>D_M02!C70</f>
        <v>4.38</v>
      </c>
      <c r="F63" s="82"/>
      <c r="G63" s="70"/>
      <c r="H63" s="83"/>
    </row>
    <row r="64" spans="2:8" ht="15.75" customHeight="1" x14ac:dyDescent="0.3">
      <c r="B64" s="45">
        <v>4</v>
      </c>
      <c r="C64" s="239" t="str">
        <f>D_M02!B71</f>
        <v xml:space="preserve">0.5 Inch Drywall </v>
      </c>
      <c r="D64" s="91">
        <f>D_M02!C71</f>
        <v>0.45</v>
      </c>
      <c r="E64" s="142">
        <f>D_M02!C71</f>
        <v>0.45</v>
      </c>
      <c r="F64" s="82"/>
      <c r="G64" s="70"/>
      <c r="H64" s="83"/>
    </row>
    <row r="65" spans="2:8" ht="15.75" customHeight="1" x14ac:dyDescent="0.3">
      <c r="B65" s="45">
        <v>5</v>
      </c>
      <c r="C65" s="239" t="str">
        <f>D_M02!B72</f>
        <v>Indoor Air film</v>
      </c>
      <c r="D65" s="91">
        <f>D_M02!C72</f>
        <v>0.92</v>
      </c>
      <c r="E65" s="142">
        <f>D_M02!C72</f>
        <v>0.92</v>
      </c>
      <c r="F65" s="82"/>
      <c r="G65" s="70"/>
      <c r="H65" s="83"/>
    </row>
    <row r="66" spans="2:8" ht="15.75" customHeight="1" x14ac:dyDescent="0.3">
      <c r="B66" s="45"/>
      <c r="C66" s="81" t="s">
        <v>158</v>
      </c>
      <c r="D66" s="91">
        <f>SUM(D61:D65)</f>
        <v>39.980000000000004</v>
      </c>
      <c r="E66" s="142">
        <f>SUM(E61:E65)</f>
        <v>6.36</v>
      </c>
      <c r="F66" s="82"/>
      <c r="G66" s="70"/>
      <c r="H66" s="83"/>
    </row>
    <row r="67" spans="2:8" ht="15.75" customHeight="1" x14ac:dyDescent="0.3">
      <c r="B67" s="53"/>
      <c r="C67" s="93" t="s">
        <v>159</v>
      </c>
      <c r="D67" s="123">
        <f>1/D66</f>
        <v>2.5012506253126562E-2</v>
      </c>
      <c r="E67" s="144">
        <f>1/E66</f>
        <v>0.15723270440251572</v>
      </c>
      <c r="F67" s="82"/>
      <c r="G67" s="70"/>
      <c r="H67" s="83"/>
    </row>
    <row r="68" spans="2:8" ht="18" customHeight="1" x14ac:dyDescent="0.3">
      <c r="B68" s="45"/>
      <c r="C68" s="36" t="s">
        <v>160</v>
      </c>
      <c r="D68" s="119">
        <f>D67*D60+E67*E60</f>
        <v>3.4267920123583803E-2</v>
      </c>
      <c r="E68" s="83"/>
      <c r="F68" s="82" t="s">
        <v>83</v>
      </c>
      <c r="G68" s="70"/>
      <c r="H68" s="83"/>
    </row>
    <row r="69" spans="2:8" ht="18" customHeight="1" x14ac:dyDescent="0.3">
      <c r="B69" s="53"/>
      <c r="C69" s="93" t="s">
        <v>161</v>
      </c>
      <c r="D69" s="128">
        <f>1/D68</f>
        <v>29.181811921867471</v>
      </c>
      <c r="E69" s="88"/>
      <c r="F69" s="86"/>
      <c r="G69" s="87"/>
      <c r="H69" s="88"/>
    </row>
    <row r="70" spans="2:8" ht="14.45" x14ac:dyDescent="0.3">
      <c r="B70" s="34"/>
      <c r="F70" s="70"/>
      <c r="G70" s="70"/>
      <c r="H70" s="70"/>
    </row>
    <row r="71" spans="2:8" ht="14.45" x14ac:dyDescent="0.3">
      <c r="B71" s="34"/>
      <c r="F71" s="70"/>
      <c r="G71" s="70"/>
      <c r="H71" s="70"/>
    </row>
    <row r="72" spans="2:8" ht="35.25" customHeight="1" x14ac:dyDescent="0.3">
      <c r="B72" s="33" t="s">
        <v>36</v>
      </c>
      <c r="C72" s="89" t="s">
        <v>239</v>
      </c>
      <c r="F72" s="70"/>
      <c r="G72" s="70"/>
      <c r="H72" s="70"/>
    </row>
    <row r="73" spans="2:8" ht="33" customHeight="1" x14ac:dyDescent="0.3">
      <c r="B73" s="55"/>
      <c r="C73" s="96" t="s">
        <v>146</v>
      </c>
      <c r="D73" s="100" t="s">
        <v>147</v>
      </c>
      <c r="E73" s="160" t="s">
        <v>148</v>
      </c>
      <c r="F73" s="55" t="s">
        <v>142</v>
      </c>
      <c r="G73" s="58"/>
      <c r="H73" s="78"/>
    </row>
    <row r="74" spans="2:8" ht="14.45" x14ac:dyDescent="0.3">
      <c r="B74" s="35"/>
      <c r="C74" s="90" t="s">
        <v>150</v>
      </c>
      <c r="D74" s="134">
        <f>1-D_M02!C77</f>
        <v>0.75</v>
      </c>
      <c r="E74" s="124">
        <f>D_M02!C77</f>
        <v>0.25</v>
      </c>
      <c r="G74" s="70"/>
      <c r="H74" s="83"/>
    </row>
    <row r="75" spans="2:8" ht="14.45" x14ac:dyDescent="0.3">
      <c r="B75" s="45">
        <v>1</v>
      </c>
      <c r="C75" s="239" t="str">
        <f>D_M02!B81</f>
        <v>Outside Air Film (7.5 mph wind, Summer)</v>
      </c>
      <c r="D75" s="101">
        <f>D_M02!C81</f>
        <v>0.25</v>
      </c>
      <c r="E75" s="121">
        <f>D_M02!C81</f>
        <v>0.25</v>
      </c>
      <c r="F75" s="82"/>
      <c r="G75" s="70"/>
      <c r="H75" s="83"/>
    </row>
    <row r="76" spans="2:8" ht="14.45" x14ac:dyDescent="0.3">
      <c r="B76" s="45">
        <v>2</v>
      </c>
      <c r="C76" s="239" t="str">
        <f>D_M02!B82</f>
        <v>Stucco (0.8 Inch thick, conductivity=9.7 Btu-in/h-ft2-°F)</v>
      </c>
      <c r="D76" s="119">
        <f>D_M02!C82</f>
        <v>8.2474226804123724E-2</v>
      </c>
      <c r="E76" s="119">
        <f>D_M02!C82</f>
        <v>8.2474226804123724E-2</v>
      </c>
      <c r="F76" s="82"/>
      <c r="G76" s="70"/>
      <c r="H76" s="83"/>
    </row>
    <row r="77" spans="2:8" ht="14.45" x14ac:dyDescent="0.3">
      <c r="B77" s="45">
        <v>3</v>
      </c>
      <c r="C77" s="239" t="str">
        <f>D_M02!B83</f>
        <v>0.5 Inch Plywood Exterior</v>
      </c>
      <c r="D77" s="137">
        <f>D_M02!C83</f>
        <v>0.79</v>
      </c>
      <c r="E77" s="91">
        <f>D_M02!C83</f>
        <v>0.79</v>
      </c>
      <c r="F77" s="82"/>
      <c r="G77" s="70"/>
      <c r="H77" s="83"/>
    </row>
    <row r="78" spans="2:8" ht="14.45" x14ac:dyDescent="0.3">
      <c r="B78" s="45">
        <v>4</v>
      </c>
      <c r="C78" s="239" t="str">
        <f>D_M02!B84</f>
        <v>Wood Stud 2 x 4: Nominal</v>
      </c>
      <c r="D78" s="137">
        <v>0</v>
      </c>
      <c r="E78" s="91">
        <f>D_M02!C84</f>
        <v>4.38</v>
      </c>
      <c r="F78" s="82"/>
      <c r="G78" s="70"/>
      <c r="H78" s="83"/>
    </row>
    <row r="79" spans="2:8" ht="14.45" x14ac:dyDescent="0.3">
      <c r="B79" s="45">
        <v>5</v>
      </c>
      <c r="C79" s="239" t="str">
        <f>D_M02!B85</f>
        <v>Fiber Glass Batt Insulation R13</v>
      </c>
      <c r="D79" s="137">
        <f>D_M02!C85</f>
        <v>13</v>
      </c>
      <c r="E79" s="120">
        <v>0</v>
      </c>
      <c r="F79" s="82"/>
      <c r="G79" s="70"/>
      <c r="H79" s="83"/>
    </row>
    <row r="80" spans="2:8" ht="14.45" x14ac:dyDescent="0.3">
      <c r="B80" s="45">
        <v>6</v>
      </c>
      <c r="C80" s="239" t="str">
        <f>D_M02!B86</f>
        <v xml:space="preserve">0.5 Inch Drywall </v>
      </c>
      <c r="D80" s="101">
        <f>D_M02!C86</f>
        <v>0.45</v>
      </c>
      <c r="E80" s="121">
        <f>D_M02!C86</f>
        <v>0.45</v>
      </c>
      <c r="F80" s="82"/>
      <c r="G80" s="70"/>
      <c r="H80" s="83"/>
    </row>
    <row r="81" spans="2:8" ht="14.45" x14ac:dyDescent="0.3">
      <c r="B81" s="45">
        <v>7</v>
      </c>
      <c r="C81" s="239" t="str">
        <f>D_M02!B87</f>
        <v>Indoor Air Film</v>
      </c>
      <c r="D81" s="101">
        <f>D_M02!C87</f>
        <v>0.68</v>
      </c>
      <c r="E81" s="121">
        <f>D_M02!C87</f>
        <v>0.68</v>
      </c>
      <c r="F81" s="82"/>
      <c r="G81" s="70"/>
      <c r="H81" s="83"/>
    </row>
    <row r="82" spans="2:8" ht="14.45" x14ac:dyDescent="0.3">
      <c r="B82" s="45"/>
      <c r="C82" s="81" t="s">
        <v>169</v>
      </c>
      <c r="D82" s="137">
        <f>SUM(D75:D81)</f>
        <v>15.252474226804123</v>
      </c>
      <c r="E82" s="91">
        <f>SUM(E75:E81)</f>
        <v>6.6324742268041232</v>
      </c>
      <c r="F82" s="82"/>
      <c r="G82" s="70"/>
      <c r="H82" s="83"/>
    </row>
    <row r="83" spans="2:8" ht="14.45" x14ac:dyDescent="0.3">
      <c r="B83" s="86"/>
      <c r="C83" s="93" t="s">
        <v>170</v>
      </c>
      <c r="D83" s="136">
        <f>1/D82</f>
        <v>6.5563133241860375E-2</v>
      </c>
      <c r="E83" s="119">
        <f>1/E82</f>
        <v>0.15077329602860032</v>
      </c>
      <c r="F83" s="82"/>
      <c r="G83" s="70"/>
      <c r="H83" s="83"/>
    </row>
    <row r="84" spans="2:8" ht="16.5" customHeight="1" x14ac:dyDescent="0.3">
      <c r="B84" s="82"/>
      <c r="C84" s="82" t="s">
        <v>160</v>
      </c>
      <c r="D84" s="102">
        <f>D83*D74+E83*E74</f>
        <v>8.6865673938545357E-2</v>
      </c>
      <c r="E84" s="95"/>
      <c r="F84" s="82" t="s">
        <v>83</v>
      </c>
      <c r="G84" s="70"/>
      <c r="H84" s="83"/>
    </row>
    <row r="85" spans="2:8" ht="16.5" customHeight="1" x14ac:dyDescent="0.3">
      <c r="B85" s="55"/>
      <c r="C85" s="55" t="s">
        <v>161</v>
      </c>
      <c r="D85" s="139">
        <f>1/D84</f>
        <v>11.512027187027496</v>
      </c>
      <c r="E85" s="95"/>
      <c r="F85" s="53"/>
      <c r="G85" s="87"/>
      <c r="H85" s="88"/>
    </row>
    <row r="88" spans="2:8" ht="14.45" x14ac:dyDescent="0.3">
      <c r="C88" s="307"/>
      <c r="D88" s="307"/>
      <c r="E88" s="307"/>
      <c r="F88" s="65"/>
      <c r="G88" s="322"/>
      <c r="H88" s="322"/>
    </row>
    <row r="89" spans="2:8" ht="24" customHeight="1" x14ac:dyDescent="0.3">
      <c r="B89" s="376" t="s">
        <v>36</v>
      </c>
      <c r="C89" s="377" t="s">
        <v>367</v>
      </c>
      <c r="D89" s="307"/>
      <c r="E89" s="307"/>
      <c r="F89" s="65"/>
      <c r="G89" s="322"/>
      <c r="H89" s="322"/>
    </row>
    <row r="90" spans="2:8" ht="14.45" x14ac:dyDescent="0.3">
      <c r="C90" s="333" t="s">
        <v>309</v>
      </c>
      <c r="D90" s="333"/>
      <c r="E90" s="333"/>
      <c r="F90" s="65"/>
      <c r="G90" s="322"/>
      <c r="H90" s="322"/>
    </row>
    <row r="91" spans="2:8" ht="30" x14ac:dyDescent="0.25">
      <c r="C91" s="279"/>
      <c r="D91" s="317" t="s">
        <v>310</v>
      </c>
      <c r="E91" s="316" t="s">
        <v>311</v>
      </c>
      <c r="F91" s="350"/>
      <c r="G91" s="322"/>
      <c r="H91" s="322"/>
    </row>
    <row r="92" spans="2:8" ht="14.45" x14ac:dyDescent="0.3">
      <c r="C92" s="318" t="s">
        <v>312</v>
      </c>
      <c r="D92" s="375">
        <f>D_M02!C96</f>
        <v>0.8</v>
      </c>
      <c r="E92" s="372">
        <f>D_M02!C105</f>
        <v>8.2474226804123724E-2</v>
      </c>
      <c r="F92" s="65"/>
      <c r="G92" s="322"/>
      <c r="H92" s="322"/>
    </row>
    <row r="93" spans="2:8" ht="14.45" x14ac:dyDescent="0.3">
      <c r="C93" s="308" t="s">
        <v>168</v>
      </c>
      <c r="D93" s="403">
        <v>0.5</v>
      </c>
      <c r="E93" s="142">
        <f>D_M02!C106</f>
        <v>0.79</v>
      </c>
      <c r="F93" s="65"/>
      <c r="G93" s="322"/>
      <c r="H93" s="322"/>
    </row>
    <row r="94" spans="2:8" ht="14.45" x14ac:dyDescent="0.3">
      <c r="C94" s="308" t="s">
        <v>313</v>
      </c>
      <c r="D94" s="403">
        <v>3.5</v>
      </c>
      <c r="E94" s="143">
        <f>D_M02!C107</f>
        <v>13</v>
      </c>
      <c r="F94" s="350"/>
      <c r="G94" s="322"/>
      <c r="H94" s="322"/>
    </row>
    <row r="95" spans="2:8" ht="14.45" x14ac:dyDescent="0.3">
      <c r="C95" s="308" t="s">
        <v>314</v>
      </c>
      <c r="D95" s="403">
        <v>0.5</v>
      </c>
      <c r="E95" s="142">
        <f>D_M02!C108</f>
        <v>0.45</v>
      </c>
      <c r="F95" s="65"/>
      <c r="G95" s="322"/>
      <c r="H95" s="322"/>
    </row>
    <row r="96" spans="2:8" ht="14.45" x14ac:dyDescent="0.3">
      <c r="C96" s="324" t="s">
        <v>320</v>
      </c>
      <c r="D96" s="324"/>
      <c r="E96" s="144">
        <f>D_M02!C109</f>
        <v>1.0999999999999999E-2</v>
      </c>
      <c r="F96" s="65"/>
      <c r="G96" s="322"/>
      <c r="H96" s="322"/>
    </row>
    <row r="97" spans="3:8" ht="14.45" x14ac:dyDescent="0.3">
      <c r="C97" s="318" t="s">
        <v>368</v>
      </c>
      <c r="D97" s="374">
        <f>D_M02!C98</f>
        <v>3.5</v>
      </c>
      <c r="E97" s="373"/>
      <c r="F97" s="65"/>
      <c r="G97" s="322"/>
      <c r="H97" s="322"/>
    </row>
    <row r="98" spans="3:8" ht="14.45" x14ac:dyDescent="0.3">
      <c r="C98" s="308" t="s">
        <v>315</v>
      </c>
      <c r="D98" s="340">
        <f>D_M02!C99</f>
        <v>3.5</v>
      </c>
      <c r="E98" s="266"/>
      <c r="F98" s="65"/>
      <c r="G98" s="322"/>
      <c r="H98" s="322"/>
    </row>
    <row r="99" spans="3:8" ht="14.45" x14ac:dyDescent="0.3">
      <c r="C99" s="308" t="s">
        <v>316</v>
      </c>
      <c r="D99" s="340">
        <f>D_M02!C100</f>
        <v>16</v>
      </c>
      <c r="E99" s="266"/>
      <c r="F99" s="65"/>
      <c r="G99" s="322"/>
      <c r="H99" s="322"/>
    </row>
    <row r="100" spans="3:8" ht="14.45" x14ac:dyDescent="0.3">
      <c r="C100" s="308" t="s">
        <v>317</v>
      </c>
      <c r="D100" s="340">
        <f>D_M02!C101</f>
        <v>1.25</v>
      </c>
      <c r="E100" s="266"/>
      <c r="F100" s="65"/>
      <c r="G100" s="322"/>
      <c r="H100" s="322"/>
    </row>
    <row r="101" spans="3:8" ht="14.45" x14ac:dyDescent="0.3">
      <c r="C101" s="324" t="s">
        <v>319</v>
      </c>
      <c r="D101" s="343">
        <f>D_M02!C102</f>
        <v>0.02</v>
      </c>
      <c r="E101" s="309"/>
      <c r="F101" s="65"/>
      <c r="G101" s="322"/>
      <c r="H101" s="322"/>
    </row>
    <row r="102" spans="3:8" s="307" customFormat="1" ht="14.45" x14ac:dyDescent="0.3">
      <c r="F102" s="65"/>
      <c r="G102" s="322"/>
      <c r="H102" s="322"/>
    </row>
    <row r="103" spans="3:8" ht="20.25" customHeight="1" x14ac:dyDescent="0.3">
      <c r="C103" s="404" t="s">
        <v>307</v>
      </c>
      <c r="D103" s="405"/>
      <c r="E103" s="369"/>
    </row>
    <row r="104" spans="3:8" ht="15.6" x14ac:dyDescent="0.3">
      <c r="C104" s="369" t="s">
        <v>322</v>
      </c>
      <c r="D104" s="369"/>
      <c r="E104" s="369"/>
    </row>
    <row r="105" spans="3:8" ht="14.45" x14ac:dyDescent="0.3">
      <c r="C105" s="303" t="s">
        <v>323</v>
      </c>
      <c r="D105" s="303" t="s">
        <v>324</v>
      </c>
      <c r="E105" s="304" t="s">
        <v>172</v>
      </c>
      <c r="F105" s="279" t="s">
        <v>142</v>
      </c>
      <c r="G105" s="332"/>
      <c r="H105" s="345"/>
    </row>
    <row r="106" spans="3:8" ht="14.45" x14ac:dyDescent="0.3">
      <c r="C106" s="308" t="s">
        <v>336</v>
      </c>
      <c r="D106" s="140">
        <f>D99</f>
        <v>16</v>
      </c>
      <c r="E106" s="266" t="s">
        <v>325</v>
      </c>
      <c r="F106" s="348"/>
      <c r="G106" s="319"/>
      <c r="H106" s="320"/>
    </row>
    <row r="107" spans="3:8" x14ac:dyDescent="0.25">
      <c r="C107" s="308" t="s">
        <v>337</v>
      </c>
      <c r="D107" s="341">
        <f>E92/D92</f>
        <v>0.10309278350515465</v>
      </c>
      <c r="E107" s="266" t="s">
        <v>326</v>
      </c>
      <c r="F107" s="349"/>
      <c r="G107" s="322"/>
      <c r="H107" s="323"/>
    </row>
    <row r="108" spans="3:8" x14ac:dyDescent="0.25">
      <c r="C108" s="308" t="s">
        <v>338</v>
      </c>
      <c r="D108" s="341">
        <f>E93/D93</f>
        <v>1.58</v>
      </c>
      <c r="E108" s="266" t="s">
        <v>326</v>
      </c>
      <c r="F108" s="349"/>
      <c r="G108" s="322"/>
      <c r="H108" s="323"/>
    </row>
    <row r="109" spans="3:8" x14ac:dyDescent="0.25">
      <c r="C109" s="308" t="s">
        <v>339</v>
      </c>
      <c r="D109" s="341">
        <f>E94/D94</f>
        <v>3.7142857142857144</v>
      </c>
      <c r="E109" s="266" t="s">
        <v>326</v>
      </c>
      <c r="F109" s="349"/>
      <c r="G109" s="322"/>
      <c r="H109" s="323"/>
    </row>
    <row r="110" spans="3:8" ht="14.45" x14ac:dyDescent="0.3">
      <c r="C110" s="308" t="s">
        <v>340</v>
      </c>
      <c r="D110" s="137">
        <f>SUM(D108,D107)/D109</f>
        <v>0.45314036478984937</v>
      </c>
      <c r="E110" s="266" t="s">
        <v>185</v>
      </c>
      <c r="F110" s="308"/>
      <c r="G110" s="322"/>
      <c r="H110" s="323"/>
    </row>
    <row r="111" spans="3:8" ht="14.45" x14ac:dyDescent="0.3">
      <c r="C111" s="279" t="s">
        <v>341</v>
      </c>
      <c r="D111" s="402">
        <v>1.25</v>
      </c>
      <c r="E111" s="304" t="s">
        <v>185</v>
      </c>
      <c r="F111" s="279" t="s">
        <v>82</v>
      </c>
      <c r="G111" s="332"/>
      <c r="H111" s="336"/>
    </row>
    <row r="112" spans="3:8" ht="14.45" x14ac:dyDescent="0.3">
      <c r="C112" s="307"/>
      <c r="D112" s="307"/>
      <c r="E112" s="307"/>
      <c r="F112" s="65"/>
      <c r="G112" s="322"/>
      <c r="H112" s="322"/>
    </row>
    <row r="113" spans="3:8" ht="14.45" x14ac:dyDescent="0.3">
      <c r="C113" s="333" t="s">
        <v>327</v>
      </c>
      <c r="D113" s="333"/>
      <c r="E113" s="333"/>
      <c r="F113" s="65"/>
      <c r="G113" s="322"/>
      <c r="H113" s="322"/>
    </row>
    <row r="114" spans="3:8" thickBot="1" x14ac:dyDescent="0.35">
      <c r="C114" s="313" t="s">
        <v>323</v>
      </c>
      <c r="D114" s="313" t="s">
        <v>324</v>
      </c>
      <c r="E114" s="314" t="s">
        <v>172</v>
      </c>
      <c r="F114" s="65"/>
      <c r="G114" s="322"/>
      <c r="H114" s="322"/>
    </row>
    <row r="115" spans="3:8" ht="16.149999999999999" thickTop="1" x14ac:dyDescent="0.3">
      <c r="C115" s="318" t="s">
        <v>352</v>
      </c>
      <c r="D115" s="374">
        <f>D97</f>
        <v>3.5</v>
      </c>
      <c r="E115" s="280" t="s">
        <v>174</v>
      </c>
      <c r="F115" s="65"/>
      <c r="G115" s="322"/>
      <c r="H115" s="322"/>
    </row>
    <row r="116" spans="3:8" ht="15.6" x14ac:dyDescent="0.3">
      <c r="C116" s="308" t="s">
        <v>351</v>
      </c>
      <c r="D116" s="340">
        <f>2*D101</f>
        <v>0.04</v>
      </c>
      <c r="E116" s="273" t="s">
        <v>174</v>
      </c>
      <c r="F116" s="65"/>
      <c r="G116" s="322"/>
      <c r="H116" s="322"/>
    </row>
    <row r="117" spans="3:8" ht="15.6" x14ac:dyDescent="0.3">
      <c r="C117" s="308" t="s">
        <v>350</v>
      </c>
      <c r="D117" s="340">
        <f>D115-D116</f>
        <v>3.46</v>
      </c>
      <c r="E117" s="273" t="s">
        <v>174</v>
      </c>
      <c r="F117" s="65"/>
      <c r="G117" s="322"/>
      <c r="H117" s="322"/>
    </row>
    <row r="118" spans="3:8" ht="14.45" x14ac:dyDescent="0.3">
      <c r="C118" s="308" t="s">
        <v>328</v>
      </c>
      <c r="D118" s="137">
        <f>SUM(D92,D93)</f>
        <v>1.3</v>
      </c>
      <c r="E118" s="273" t="s">
        <v>174</v>
      </c>
      <c r="F118" s="65"/>
      <c r="G118" s="322"/>
      <c r="H118" s="322"/>
    </row>
    <row r="119" spans="3:8" ht="14.45" x14ac:dyDescent="0.3">
      <c r="C119" s="308" t="s">
        <v>349</v>
      </c>
      <c r="D119" s="340">
        <f>D100</f>
        <v>1.25</v>
      </c>
      <c r="E119" s="273" t="s">
        <v>174</v>
      </c>
      <c r="F119" s="65"/>
      <c r="G119" s="322"/>
      <c r="H119" s="322"/>
    </row>
    <row r="120" spans="3:8" ht="14.45" x14ac:dyDescent="0.3">
      <c r="C120" s="279" t="s">
        <v>348</v>
      </c>
      <c r="D120" s="232">
        <f>D119+D111*D118</f>
        <v>2.875</v>
      </c>
      <c r="E120" s="281" t="s">
        <v>174</v>
      </c>
      <c r="F120" s="65"/>
      <c r="G120" s="322"/>
      <c r="H120" s="322"/>
    </row>
    <row r="121" spans="3:8" ht="14.45" x14ac:dyDescent="0.3">
      <c r="C121" s="307"/>
      <c r="D121" s="307"/>
      <c r="E121" s="307"/>
      <c r="F121" s="65"/>
      <c r="G121" s="322"/>
      <c r="H121" s="322"/>
    </row>
    <row r="122" spans="3:8" ht="14.45" x14ac:dyDescent="0.3">
      <c r="C122" s="333" t="s">
        <v>329</v>
      </c>
      <c r="D122" s="333"/>
      <c r="E122" s="333"/>
      <c r="F122" s="65"/>
      <c r="G122" s="322"/>
      <c r="H122" s="322"/>
    </row>
    <row r="123" spans="3:8" thickBot="1" x14ac:dyDescent="0.35">
      <c r="C123" s="313" t="s">
        <v>323</v>
      </c>
      <c r="D123" s="313" t="s">
        <v>324</v>
      </c>
      <c r="E123" s="314" t="s">
        <v>172</v>
      </c>
      <c r="F123" s="65"/>
      <c r="G123" s="322"/>
      <c r="H123" s="322"/>
    </row>
    <row r="124" spans="3:8" thickTop="1" x14ac:dyDescent="0.3">
      <c r="C124" s="308" t="s">
        <v>330</v>
      </c>
      <c r="D124" s="308"/>
      <c r="E124" s="323"/>
      <c r="F124" s="65"/>
      <c r="G124" s="322"/>
      <c r="H124" s="322"/>
    </row>
    <row r="125" spans="3:8" ht="15.6" x14ac:dyDescent="0.3">
      <c r="C125" s="294" t="s">
        <v>346</v>
      </c>
      <c r="D125" s="137">
        <f>D92</f>
        <v>0.8</v>
      </c>
      <c r="E125" s="266" t="s">
        <v>174</v>
      </c>
      <c r="F125" s="65"/>
      <c r="G125" s="322"/>
      <c r="H125" s="322"/>
    </row>
    <row r="126" spans="3:8" ht="18" x14ac:dyDescent="0.25">
      <c r="C126" s="294" t="s">
        <v>347</v>
      </c>
      <c r="D126" s="341">
        <f>D107</f>
        <v>0.10309278350515465</v>
      </c>
      <c r="E126" s="266" t="s">
        <v>326</v>
      </c>
      <c r="F126" s="65"/>
      <c r="G126" s="322"/>
      <c r="H126" s="322"/>
    </row>
    <row r="127" spans="3:8" x14ac:dyDescent="0.25">
      <c r="C127" s="294"/>
      <c r="D127" s="341">
        <f>E92</f>
        <v>8.2474226804123724E-2</v>
      </c>
      <c r="E127" s="266" t="s">
        <v>321</v>
      </c>
      <c r="F127" s="65"/>
      <c r="G127" s="322"/>
      <c r="H127" s="322"/>
    </row>
    <row r="128" spans="3:8" x14ac:dyDescent="0.25">
      <c r="C128" s="294"/>
      <c r="D128" s="137">
        <f>E93</f>
        <v>0.79</v>
      </c>
      <c r="E128" s="266" t="s">
        <v>321</v>
      </c>
      <c r="F128" s="65"/>
      <c r="G128" s="322"/>
      <c r="H128" s="322"/>
    </row>
    <row r="129" spans="3:8" ht="18" x14ac:dyDescent="0.25">
      <c r="C129" s="294" t="s">
        <v>342</v>
      </c>
      <c r="D129" s="341">
        <f>SUM(D127:D128)</f>
        <v>0.87247422680412379</v>
      </c>
      <c r="E129" s="266" t="s">
        <v>321</v>
      </c>
      <c r="F129" s="65"/>
      <c r="G129" s="322"/>
      <c r="H129" s="322"/>
    </row>
    <row r="130" spans="3:8" ht="14.45" x14ac:dyDescent="0.3">
      <c r="C130" s="294"/>
      <c r="D130" s="387"/>
      <c r="E130" s="323"/>
      <c r="F130" s="65"/>
      <c r="G130" s="322"/>
      <c r="H130" s="322"/>
    </row>
    <row r="131" spans="3:8" ht="15.6" x14ac:dyDescent="0.3">
      <c r="C131" s="294" t="s">
        <v>343</v>
      </c>
      <c r="D131" s="137">
        <f>D95</f>
        <v>0.5</v>
      </c>
      <c r="E131" s="266" t="s">
        <v>174</v>
      </c>
      <c r="F131" s="65"/>
      <c r="G131" s="322"/>
      <c r="H131" s="322"/>
    </row>
    <row r="132" spans="3:8" ht="18" x14ac:dyDescent="0.25">
      <c r="C132" s="294" t="s">
        <v>344</v>
      </c>
      <c r="D132" s="137">
        <f>E95/D95</f>
        <v>0.9</v>
      </c>
      <c r="E132" s="266" t="s">
        <v>326</v>
      </c>
      <c r="F132" s="65"/>
      <c r="G132" s="322"/>
      <c r="H132" s="322"/>
    </row>
    <row r="133" spans="3:8" ht="18" x14ac:dyDescent="0.25">
      <c r="C133" s="295" t="s">
        <v>345</v>
      </c>
      <c r="D133" s="396">
        <f>D132*D131</f>
        <v>0.45</v>
      </c>
      <c r="E133" s="309" t="s">
        <v>321</v>
      </c>
      <c r="F133" s="65"/>
      <c r="G133" s="322"/>
      <c r="H133" s="322"/>
    </row>
    <row r="134" spans="3:8" ht="14.45" x14ac:dyDescent="0.3">
      <c r="C134" s="346"/>
      <c r="D134" s="265"/>
      <c r="E134" s="267"/>
      <c r="F134" s="350"/>
      <c r="G134" s="307"/>
    </row>
    <row r="135" spans="3:8" ht="14.45" x14ac:dyDescent="0.3">
      <c r="C135" s="307"/>
      <c r="D135" s="307"/>
      <c r="E135" s="307"/>
      <c r="F135" s="347"/>
      <c r="G135" s="307"/>
    </row>
    <row r="136" spans="3:8" ht="14.45" x14ac:dyDescent="0.3">
      <c r="C136" s="333" t="s">
        <v>331</v>
      </c>
      <c r="D136" s="333"/>
      <c r="E136" s="333"/>
      <c r="F136" s="347"/>
      <c r="G136" s="307"/>
    </row>
    <row r="137" spans="3:8" thickBot="1" x14ac:dyDescent="0.35">
      <c r="C137" s="313" t="s">
        <v>323</v>
      </c>
      <c r="D137" s="313" t="s">
        <v>324</v>
      </c>
      <c r="E137" s="314" t="s">
        <v>172</v>
      </c>
      <c r="G137" s="307"/>
    </row>
    <row r="138" spans="3:8" ht="18.75" thickTop="1" x14ac:dyDescent="0.25">
      <c r="C138" s="293" t="s">
        <v>357</v>
      </c>
      <c r="D138" s="397">
        <f>E96/D98</f>
        <v>3.1428571428571426E-3</v>
      </c>
      <c r="E138" s="306" t="s">
        <v>332</v>
      </c>
      <c r="G138" s="307"/>
    </row>
    <row r="139" spans="3:8" ht="18" x14ac:dyDescent="0.25">
      <c r="C139" s="294" t="s">
        <v>353</v>
      </c>
      <c r="D139" s="341">
        <f>D109*D117</f>
        <v>12.851428571428572</v>
      </c>
      <c r="E139" s="266" t="s">
        <v>321</v>
      </c>
      <c r="G139" s="307"/>
    </row>
    <row r="140" spans="3:8" ht="18" x14ac:dyDescent="0.25">
      <c r="C140" s="294" t="s">
        <v>354</v>
      </c>
      <c r="D140" s="398">
        <f>D109*D101</f>
        <v>7.4285714285714288E-2</v>
      </c>
      <c r="E140" s="266" t="s">
        <v>321</v>
      </c>
      <c r="G140" s="307"/>
    </row>
    <row r="141" spans="3:8" ht="18" x14ac:dyDescent="0.25">
      <c r="C141" s="294" t="s">
        <v>355</v>
      </c>
      <c r="D141" s="398">
        <f>D138*D117</f>
        <v>1.0874285714285713E-2</v>
      </c>
      <c r="E141" s="266" t="s">
        <v>321</v>
      </c>
      <c r="G141" s="307"/>
    </row>
    <row r="142" spans="3:8" ht="18" x14ac:dyDescent="0.25">
      <c r="C142" s="295" t="s">
        <v>356</v>
      </c>
      <c r="D142" s="399">
        <f>D138*D101</f>
        <v>6.2857142857142848E-5</v>
      </c>
      <c r="E142" s="309" t="s">
        <v>321</v>
      </c>
      <c r="G142" s="307"/>
    </row>
    <row r="143" spans="3:8" ht="14.45" x14ac:dyDescent="0.3">
      <c r="C143" s="307"/>
      <c r="D143" s="265"/>
      <c r="E143" s="310"/>
      <c r="F143" s="265"/>
      <c r="G143" s="307"/>
    </row>
    <row r="144" spans="3:8" ht="14.45" x14ac:dyDescent="0.3">
      <c r="C144" s="307"/>
      <c r="D144" s="265"/>
      <c r="E144" s="310"/>
      <c r="F144" s="265"/>
      <c r="G144" s="307"/>
    </row>
    <row r="145" spans="3:7" ht="14.45" x14ac:dyDescent="0.3">
      <c r="C145" s="333" t="s">
        <v>333</v>
      </c>
      <c r="D145" s="333"/>
      <c r="E145" s="333"/>
      <c r="G145" s="307"/>
    </row>
    <row r="146" spans="3:7" thickBot="1" x14ac:dyDescent="0.35">
      <c r="C146" s="313" t="s">
        <v>323</v>
      </c>
      <c r="D146" s="313" t="s">
        <v>324</v>
      </c>
      <c r="E146" s="314" t="s">
        <v>172</v>
      </c>
      <c r="G146" s="307"/>
    </row>
    <row r="147" spans="3:7" ht="18.75" thickTop="1" x14ac:dyDescent="0.25">
      <c r="C147" s="311" t="s">
        <v>358</v>
      </c>
      <c r="D147" s="400">
        <f>(D141*D139*D120)/(D117*(D139-D141)+D120*D141)</f>
        <v>9.0370071523444614E-3</v>
      </c>
      <c r="E147" s="306" t="s">
        <v>321</v>
      </c>
      <c r="G147" s="307"/>
    </row>
    <row r="148" spans="3:7" ht="18" x14ac:dyDescent="0.25">
      <c r="C148" s="312" t="s">
        <v>359</v>
      </c>
      <c r="D148" s="400">
        <f>(D142*D140*D120)/(D119*(D140-D142)+D120*D142)</f>
        <v>1.4441257473921541E-4</v>
      </c>
      <c r="E148" s="266" t="s">
        <v>321</v>
      </c>
      <c r="G148" s="307"/>
    </row>
    <row r="149" spans="3:7" ht="18" x14ac:dyDescent="0.25">
      <c r="C149" s="308" t="s">
        <v>360</v>
      </c>
      <c r="D149" s="341">
        <f>D129+D133+D139+2*D140</f>
        <v>14.322474226804125</v>
      </c>
      <c r="E149" s="266" t="s">
        <v>321</v>
      </c>
      <c r="G149" s="307"/>
    </row>
    <row r="150" spans="3:7" ht="18" x14ac:dyDescent="0.25">
      <c r="C150" s="308" t="s">
        <v>361</v>
      </c>
      <c r="D150" s="341">
        <f>D129+D133+D147+2*D148</f>
        <v>1.3318000591059467</v>
      </c>
      <c r="E150" s="266" t="s">
        <v>321</v>
      </c>
      <c r="G150" s="307"/>
    </row>
    <row r="151" spans="3:7" x14ac:dyDescent="0.25">
      <c r="C151" s="308" t="s">
        <v>334</v>
      </c>
      <c r="D151" s="341">
        <f>(D150*D149*D106)/(D120*(D149-D150)+D106*D150)</f>
        <v>5.2030415578197289</v>
      </c>
      <c r="E151" s="266" t="s">
        <v>321</v>
      </c>
      <c r="G151" s="307"/>
    </row>
    <row r="152" spans="3:7" x14ac:dyDescent="0.25">
      <c r="C152" s="324" t="s">
        <v>335</v>
      </c>
      <c r="D152" s="401">
        <f>1/D151</f>
        <v>0.19219527441542056</v>
      </c>
      <c r="E152" s="309" t="s">
        <v>321</v>
      </c>
      <c r="G152" s="307"/>
    </row>
    <row r="153" spans="3:7" ht="14.45" x14ac:dyDescent="0.3">
      <c r="C153" s="307"/>
      <c r="D153" s="268"/>
      <c r="E153" s="310"/>
      <c r="F153" s="265"/>
    </row>
    <row r="154" spans="3:7" x14ac:dyDescent="0.25">
      <c r="C154" s="318" t="s">
        <v>162</v>
      </c>
      <c r="D154" s="230">
        <v>0.25</v>
      </c>
      <c r="E154" s="306" t="s">
        <v>321</v>
      </c>
      <c r="F154" s="265"/>
    </row>
    <row r="155" spans="3:7" x14ac:dyDescent="0.25">
      <c r="C155" s="308" t="str">
        <f>C151</f>
        <v>Assembly R-Value (without the air film resistances)</v>
      </c>
      <c r="D155" s="341">
        <f>D151</f>
        <v>5.2030415578197289</v>
      </c>
      <c r="E155" s="266" t="s">
        <v>321</v>
      </c>
      <c r="F155" s="265"/>
    </row>
    <row r="156" spans="3:7" x14ac:dyDescent="0.25">
      <c r="C156" s="308" t="s">
        <v>167</v>
      </c>
      <c r="D156" s="340">
        <v>0.68</v>
      </c>
      <c r="E156" s="266" t="s">
        <v>321</v>
      </c>
      <c r="F156" s="322"/>
    </row>
    <row r="157" spans="3:7" x14ac:dyDescent="0.25">
      <c r="C157" s="324" t="s">
        <v>160</v>
      </c>
      <c r="D157" s="401">
        <f>1/(D154+D155+D156)</f>
        <v>0.16305123494964477</v>
      </c>
      <c r="E157" s="309" t="s">
        <v>321</v>
      </c>
      <c r="F157" s="322"/>
    </row>
  </sheetData>
  <sheetProtection password="BDDF" sheet="1" objects="1" scenarios="1"/>
  <mergeCells count="1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68 F84 F111">
      <formula1>UCalcMethod</formula1>
    </dataValidation>
  </dataValidations>
  <pageMargins left="0.7" right="0.7" top="0.75" bottom="0.75" header="0.3" footer="0.3"/>
  <pageSetup scale="33" fitToHeight="0" orientation="portrait" r:id="rId1"/>
  <rowBreaks count="1" manualBreakCount="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7"/>
  <sheetViews>
    <sheetView zoomScale="115" zoomScaleNormal="115" workbookViewId="0">
      <selection activeCell="D37" sqref="D37"/>
    </sheetView>
  </sheetViews>
  <sheetFormatPr defaultColWidth="9.140625" defaultRowHeight="12.75" x14ac:dyDescent="0.2"/>
  <cols>
    <col min="1" max="1" width="6.140625" style="162" customWidth="1"/>
    <col min="2" max="2" width="46.7109375" style="162" customWidth="1"/>
    <col min="3" max="3" width="25" style="162" customWidth="1"/>
    <col min="4" max="4" width="36.7109375" style="162" customWidth="1"/>
    <col min="5" max="5" width="14.140625" style="162" customWidth="1"/>
    <col min="6" max="6" width="13.28515625" style="162" customWidth="1"/>
    <col min="7" max="7" width="10.85546875" style="162" customWidth="1"/>
    <col min="8" max="16384" width="9.140625" style="162"/>
  </cols>
  <sheetData>
    <row r="2" spans="1:7" x14ac:dyDescent="0.2">
      <c r="B2" s="163" t="s">
        <v>306</v>
      </c>
    </row>
    <row r="3" spans="1:7" ht="13.15" x14ac:dyDescent="0.25">
      <c r="B3" s="163" t="s">
        <v>282</v>
      </c>
      <c r="C3" s="163"/>
    </row>
    <row r="4" spans="1:7" ht="14.45" x14ac:dyDescent="0.3">
      <c r="B4" s="4" t="s">
        <v>102</v>
      </c>
      <c r="D4" s="163" t="s">
        <v>285</v>
      </c>
    </row>
    <row r="5" spans="1:7" ht="15" customHeight="1" x14ac:dyDescent="0.25">
      <c r="B5" s="163"/>
    </row>
    <row r="6" spans="1:7" ht="47.25" customHeight="1" thickBot="1" x14ac:dyDescent="0.3">
      <c r="B6" s="436" t="s">
        <v>191</v>
      </c>
      <c r="C6" s="437" t="s">
        <v>192</v>
      </c>
      <c r="D6" s="437" t="s">
        <v>300</v>
      </c>
      <c r="E6" s="423" t="s">
        <v>209</v>
      </c>
      <c r="F6" s="423" t="s">
        <v>210</v>
      </c>
      <c r="G6" s="423" t="s">
        <v>218</v>
      </c>
    </row>
    <row r="7" spans="1:7" ht="14.25" customHeight="1" thickTop="1" x14ac:dyDescent="0.25">
      <c r="B7" s="417" t="s">
        <v>194</v>
      </c>
      <c r="C7" s="417" t="s">
        <v>245</v>
      </c>
      <c r="D7" s="417" t="s">
        <v>195</v>
      </c>
      <c r="E7" s="419"/>
      <c r="F7" s="419"/>
      <c r="G7" s="419">
        <v>2000</v>
      </c>
    </row>
    <row r="8" spans="1:7" ht="14.25" customHeight="1" x14ac:dyDescent="0.25">
      <c r="A8" s="166"/>
      <c r="B8" s="440" t="s">
        <v>405</v>
      </c>
      <c r="C8" s="153" t="s">
        <v>406</v>
      </c>
      <c r="D8" s="257" t="s">
        <v>302</v>
      </c>
      <c r="E8" s="272">
        <v>19</v>
      </c>
      <c r="F8" s="272"/>
      <c r="G8" s="156">
        <f>50*40</f>
        <v>2000</v>
      </c>
    </row>
    <row r="9" spans="1:7" ht="14.25" customHeight="1" x14ac:dyDescent="0.2">
      <c r="A9" s="166"/>
      <c r="B9" s="440" t="s">
        <v>1</v>
      </c>
      <c r="C9" s="159" t="s">
        <v>246</v>
      </c>
      <c r="D9" s="159" t="s">
        <v>297</v>
      </c>
      <c r="E9" s="272"/>
      <c r="F9" s="272">
        <v>0.75</v>
      </c>
      <c r="G9" s="272"/>
    </row>
    <row r="10" spans="1:7" ht="14.25" customHeight="1" x14ac:dyDescent="0.2">
      <c r="A10" s="166"/>
      <c r="B10" s="440" t="s">
        <v>407</v>
      </c>
      <c r="C10" s="159" t="s">
        <v>245</v>
      </c>
      <c r="D10" s="159" t="s">
        <v>260</v>
      </c>
      <c r="E10" s="441">
        <v>38</v>
      </c>
      <c r="F10" s="272"/>
      <c r="G10" s="220">
        <v>2000</v>
      </c>
    </row>
    <row r="11" spans="1:7" ht="14.25" customHeight="1" x14ac:dyDescent="0.25">
      <c r="A11" s="166"/>
      <c r="B11" s="440" t="s">
        <v>2</v>
      </c>
      <c r="C11" s="159" t="s">
        <v>248</v>
      </c>
      <c r="D11" s="159" t="s">
        <v>299</v>
      </c>
      <c r="E11" s="272">
        <v>0.75</v>
      </c>
      <c r="F11" s="272">
        <v>0.25</v>
      </c>
      <c r="G11" s="272">
        <v>10</v>
      </c>
    </row>
    <row r="12" spans="1:7" ht="14.25" customHeight="1" x14ac:dyDescent="0.2">
      <c r="A12" s="166"/>
      <c r="B12" s="440" t="s">
        <v>408</v>
      </c>
      <c r="C12" s="153" t="s">
        <v>198</v>
      </c>
      <c r="D12" s="257" t="s">
        <v>296</v>
      </c>
      <c r="E12" s="427">
        <v>13</v>
      </c>
      <c r="F12" s="155"/>
      <c r="G12" s="156">
        <f>50*10</f>
        <v>500</v>
      </c>
    </row>
    <row r="13" spans="1:7" ht="14.25" customHeight="1" x14ac:dyDescent="0.25">
      <c r="A13" s="166"/>
      <c r="B13" s="440" t="s">
        <v>3</v>
      </c>
      <c r="C13" s="159" t="s">
        <v>249</v>
      </c>
      <c r="D13" s="159" t="s">
        <v>77</v>
      </c>
      <c r="E13" s="272">
        <v>0.65</v>
      </c>
      <c r="F13" s="220">
        <v>0</v>
      </c>
      <c r="G13" s="272">
        <v>24</v>
      </c>
    </row>
    <row r="14" spans="1:7" ht="14.25" customHeight="1" x14ac:dyDescent="0.2">
      <c r="A14" s="166"/>
      <c r="B14" s="440" t="s">
        <v>103</v>
      </c>
      <c r="C14" s="153" t="s">
        <v>397</v>
      </c>
      <c r="D14" s="257" t="s">
        <v>299</v>
      </c>
      <c r="E14" s="155">
        <v>0.75</v>
      </c>
      <c r="F14" s="155">
        <v>0.25</v>
      </c>
      <c r="G14" s="272">
        <v>75</v>
      </c>
    </row>
    <row r="15" spans="1:7" ht="14.25" customHeight="1" x14ac:dyDescent="0.2">
      <c r="A15" s="166"/>
      <c r="B15" s="440" t="s">
        <v>104</v>
      </c>
      <c r="C15" s="153" t="s">
        <v>199</v>
      </c>
      <c r="D15" s="257" t="s">
        <v>296</v>
      </c>
      <c r="E15" s="157">
        <f>E12</f>
        <v>13</v>
      </c>
      <c r="F15" s="155"/>
      <c r="G15" s="157">
        <f>40*10</f>
        <v>400</v>
      </c>
    </row>
    <row r="16" spans="1:7" ht="14.25" customHeight="1" x14ac:dyDescent="0.2">
      <c r="A16" s="166"/>
      <c r="B16" s="440" t="s">
        <v>105</v>
      </c>
      <c r="C16" s="153" t="s">
        <v>397</v>
      </c>
      <c r="D16" s="257" t="s">
        <v>299</v>
      </c>
      <c r="E16" s="155">
        <v>0.75</v>
      </c>
      <c r="F16" s="155">
        <v>0.25</v>
      </c>
      <c r="G16" s="272">
        <v>75</v>
      </c>
    </row>
    <row r="17" spans="1:7" ht="14.25" customHeight="1" x14ac:dyDescent="0.2">
      <c r="A17" s="166"/>
      <c r="B17" s="440" t="s">
        <v>106</v>
      </c>
      <c r="C17" s="153" t="s">
        <v>199</v>
      </c>
      <c r="D17" s="257" t="s">
        <v>296</v>
      </c>
      <c r="E17" s="157">
        <f>E12</f>
        <v>13</v>
      </c>
      <c r="F17" s="155"/>
      <c r="G17" s="157">
        <f>40*10</f>
        <v>400</v>
      </c>
    </row>
    <row r="18" spans="1:7" ht="14.25" customHeight="1" x14ac:dyDescent="0.2">
      <c r="A18" s="166"/>
      <c r="B18" s="440" t="s">
        <v>107</v>
      </c>
      <c r="C18" s="153" t="s">
        <v>398</v>
      </c>
      <c r="D18" s="257" t="s">
        <v>299</v>
      </c>
      <c r="E18" s="155">
        <v>0.75</v>
      </c>
      <c r="F18" s="155">
        <v>0.25</v>
      </c>
      <c r="G18" s="272">
        <v>15</v>
      </c>
    </row>
    <row r="19" spans="1:7" ht="14.25" customHeight="1" x14ac:dyDescent="0.2">
      <c r="A19" s="166"/>
      <c r="B19" s="440" t="s">
        <v>409</v>
      </c>
      <c r="C19" s="159" t="s">
        <v>200</v>
      </c>
      <c r="D19" s="159" t="s">
        <v>296</v>
      </c>
      <c r="E19" s="220">
        <v>13</v>
      </c>
      <c r="F19" s="272"/>
      <c r="G19" s="272">
        <f>10*10</f>
        <v>100</v>
      </c>
    </row>
    <row r="20" spans="1:7" ht="14.25" customHeight="1" x14ac:dyDescent="0.2">
      <c r="A20" s="166"/>
      <c r="B20" s="440" t="s">
        <v>108</v>
      </c>
      <c r="C20" s="153" t="s">
        <v>400</v>
      </c>
      <c r="D20" s="257" t="s">
        <v>299</v>
      </c>
      <c r="E20" s="155">
        <v>0.75</v>
      </c>
      <c r="F20" s="155">
        <v>0.25</v>
      </c>
      <c r="G20" s="272">
        <v>60</v>
      </c>
    </row>
    <row r="21" spans="1:7" ht="14.25" customHeight="1" x14ac:dyDescent="0.2">
      <c r="A21" s="166"/>
      <c r="B21" s="440" t="s">
        <v>109</v>
      </c>
      <c r="C21" s="153" t="s">
        <v>199</v>
      </c>
      <c r="D21" s="257" t="s">
        <v>296</v>
      </c>
      <c r="E21" s="157">
        <f>E12</f>
        <v>13</v>
      </c>
      <c r="F21" s="155"/>
      <c r="G21" s="157">
        <f>40*10</f>
        <v>400</v>
      </c>
    </row>
    <row r="22" spans="1:7" ht="14.25" customHeight="1" x14ac:dyDescent="0.2">
      <c r="A22" s="166"/>
      <c r="B22" s="440" t="s">
        <v>110</v>
      </c>
      <c r="C22" s="153" t="s">
        <v>397</v>
      </c>
      <c r="D22" s="257" t="s">
        <v>299</v>
      </c>
      <c r="E22" s="155">
        <v>0.75</v>
      </c>
      <c r="F22" s="155">
        <v>0.25</v>
      </c>
      <c r="G22" s="272">
        <v>75</v>
      </c>
    </row>
    <row r="23" spans="1:7" ht="14.25" customHeight="1" x14ac:dyDescent="0.25">
      <c r="A23" s="166"/>
      <c r="B23" s="159" t="s">
        <v>12</v>
      </c>
      <c r="C23" s="159" t="s">
        <v>288</v>
      </c>
      <c r="D23" s="159" t="s">
        <v>293</v>
      </c>
      <c r="E23" s="220">
        <v>5</v>
      </c>
      <c r="F23" s="272"/>
      <c r="G23" s="272"/>
    </row>
    <row r="24" spans="1:7" ht="14.25" customHeight="1" x14ac:dyDescent="0.2">
      <c r="A24" s="166"/>
      <c r="B24" s="159" t="s">
        <v>13</v>
      </c>
      <c r="C24" s="159" t="s">
        <v>201</v>
      </c>
      <c r="D24" s="159" t="s">
        <v>294</v>
      </c>
      <c r="E24" s="272">
        <v>8.1999999999999993</v>
      </c>
      <c r="F24" s="272"/>
      <c r="G24" s="272"/>
    </row>
    <row r="25" spans="1:7" ht="14.25" customHeight="1" x14ac:dyDescent="0.2">
      <c r="A25" s="166"/>
      <c r="B25" s="159" t="s">
        <v>14</v>
      </c>
      <c r="C25" s="159" t="s">
        <v>201</v>
      </c>
      <c r="D25" s="159" t="s">
        <v>295</v>
      </c>
      <c r="E25" s="220">
        <v>14</v>
      </c>
      <c r="F25" s="272"/>
      <c r="G25" s="272"/>
    </row>
    <row r="26" spans="1:7" ht="14.25" customHeight="1" x14ac:dyDescent="0.2">
      <c r="A26" s="166"/>
      <c r="B26" s="159" t="s">
        <v>15</v>
      </c>
      <c r="C26" s="159" t="s">
        <v>202</v>
      </c>
      <c r="D26" s="159" t="s">
        <v>418</v>
      </c>
      <c r="E26" s="427">
        <v>8</v>
      </c>
      <c r="F26" s="155"/>
      <c r="G26" s="155"/>
    </row>
    <row r="27" spans="1:7" ht="14.25" customHeight="1" x14ac:dyDescent="0.2">
      <c r="A27" s="166"/>
      <c r="B27" s="159" t="s">
        <v>16</v>
      </c>
      <c r="C27" s="159" t="s">
        <v>203</v>
      </c>
      <c r="D27" s="159" t="s">
        <v>418</v>
      </c>
      <c r="E27" s="220">
        <v>6</v>
      </c>
      <c r="F27" s="272"/>
      <c r="G27" s="272"/>
    </row>
    <row r="28" spans="1:7" ht="15.75" customHeight="1" x14ac:dyDescent="0.25">
      <c r="A28" s="166"/>
      <c r="B28" s="159" t="s">
        <v>17</v>
      </c>
      <c r="C28" s="159"/>
      <c r="D28" s="159" t="s">
        <v>289</v>
      </c>
      <c r="E28" s="272">
        <v>0.04</v>
      </c>
      <c r="F28" s="272"/>
      <c r="G28" s="272"/>
    </row>
    <row r="29" spans="1:7" ht="14.25" customHeight="1" x14ac:dyDescent="0.2">
      <c r="A29" s="166"/>
      <c r="B29" s="159" t="s">
        <v>18</v>
      </c>
      <c r="C29" s="159" t="s">
        <v>201</v>
      </c>
      <c r="D29" s="159" t="s">
        <v>301</v>
      </c>
      <c r="E29" s="256">
        <v>0.02</v>
      </c>
      <c r="F29" s="272"/>
      <c r="G29" s="272"/>
    </row>
    <row r="30" spans="1:7" ht="14.25" customHeight="1" x14ac:dyDescent="0.25">
      <c r="A30" s="166"/>
      <c r="B30" s="159" t="s">
        <v>19</v>
      </c>
      <c r="C30" s="159" t="s">
        <v>204</v>
      </c>
      <c r="D30" s="159" t="s">
        <v>205</v>
      </c>
      <c r="E30" s="272" t="s">
        <v>205</v>
      </c>
      <c r="F30" s="272"/>
      <c r="G30" s="272"/>
    </row>
    <row r="31" spans="1:7" ht="14.25" customHeight="1" x14ac:dyDescent="0.25">
      <c r="A31" s="166"/>
      <c r="B31" s="159" t="s">
        <v>20</v>
      </c>
      <c r="C31" s="159" t="s">
        <v>206</v>
      </c>
      <c r="D31" s="159" t="s">
        <v>290</v>
      </c>
      <c r="E31" s="272">
        <v>0.95</v>
      </c>
      <c r="F31" s="272"/>
      <c r="G31" s="272"/>
    </row>
    <row r="32" spans="1:7" ht="14.25" customHeight="1" x14ac:dyDescent="0.25">
      <c r="A32" s="166"/>
      <c r="B32" s="159" t="s">
        <v>21</v>
      </c>
      <c r="C32" s="159" t="s">
        <v>207</v>
      </c>
      <c r="D32" s="159" t="s">
        <v>291</v>
      </c>
      <c r="E32" s="272">
        <v>3</v>
      </c>
      <c r="F32" s="272"/>
      <c r="G32" s="272"/>
    </row>
    <row r="33" spans="1:7" ht="14.25" customHeight="1" x14ac:dyDescent="0.25">
      <c r="A33" s="166"/>
      <c r="B33" s="159" t="s">
        <v>22</v>
      </c>
      <c r="C33" s="159" t="s">
        <v>195</v>
      </c>
      <c r="D33" s="159" t="s">
        <v>195</v>
      </c>
      <c r="E33" s="272" t="s">
        <v>205</v>
      </c>
      <c r="F33" s="272"/>
      <c r="G33" s="272"/>
    </row>
    <row r="34" spans="1:7" ht="14.25" customHeight="1" x14ac:dyDescent="0.25">
      <c r="A34" s="166"/>
      <c r="B34" s="159" t="s">
        <v>23</v>
      </c>
      <c r="C34" s="159" t="s">
        <v>208</v>
      </c>
      <c r="D34" s="159" t="s">
        <v>298</v>
      </c>
      <c r="E34" s="428">
        <f>75/100</f>
        <v>0.75</v>
      </c>
      <c r="F34" s="272"/>
      <c r="G34" s="272"/>
    </row>
    <row r="35" spans="1:7" ht="14.25" customHeight="1" x14ac:dyDescent="0.25">
      <c r="A35" s="166"/>
      <c r="B35" s="159" t="s">
        <v>24</v>
      </c>
      <c r="C35" s="159" t="s">
        <v>195</v>
      </c>
      <c r="D35" s="159" t="s">
        <v>195</v>
      </c>
      <c r="E35" s="272" t="s">
        <v>205</v>
      </c>
      <c r="F35" s="272"/>
      <c r="G35" s="272"/>
    </row>
    <row r="36" spans="1:7" ht="13.5" customHeight="1" x14ac:dyDescent="0.25">
      <c r="B36" s="161"/>
      <c r="C36" s="161"/>
      <c r="D36" s="161"/>
    </row>
    <row r="37" spans="1:7" ht="17.25" customHeight="1" thickBot="1" x14ac:dyDescent="0.3">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row r="47" spans="1:7" ht="13.5" customHeight="1" x14ac:dyDescent="0.25"/>
    <row r="48" spans="1:7" ht="13.5" customHeight="1" x14ac:dyDescent="0.25"/>
    <row r="49" spans="1:9" ht="33.75" customHeight="1" x14ac:dyDescent="0.2">
      <c r="A49" s="307"/>
      <c r="B49" s="487" t="s">
        <v>369</v>
      </c>
      <c r="C49" s="487"/>
      <c r="D49" s="487"/>
      <c r="E49" s="307"/>
      <c r="F49" s="322"/>
      <c r="G49" s="322"/>
      <c r="H49" s="180"/>
      <c r="I49" s="180"/>
    </row>
    <row r="50" spans="1:9" ht="13.5" customHeight="1" x14ac:dyDescent="0.25">
      <c r="A50" s="322"/>
      <c r="B50" s="322" t="s">
        <v>378</v>
      </c>
      <c r="C50" s="322"/>
      <c r="D50" s="322"/>
      <c r="E50" s="322"/>
      <c r="F50" s="322"/>
      <c r="G50" s="322"/>
      <c r="H50" s="180"/>
      <c r="I50" s="180"/>
    </row>
    <row r="51" spans="1:9" s="180" customFormat="1" ht="13.5" customHeight="1" x14ac:dyDescent="0.25">
      <c r="A51" s="322"/>
      <c r="B51" s="378"/>
      <c r="C51" s="129"/>
      <c r="D51" s="129"/>
      <c r="E51" s="265"/>
      <c r="F51" s="322"/>
      <c r="G51" s="322"/>
    </row>
    <row r="52" spans="1:9" ht="13.5" customHeight="1" x14ac:dyDescent="0.25">
      <c r="A52" s="308"/>
      <c r="B52" s="271" t="s">
        <v>377</v>
      </c>
      <c r="C52" s="292">
        <v>0.15</v>
      </c>
      <c r="D52" s="336"/>
      <c r="F52" s="322"/>
      <c r="G52" s="322"/>
      <c r="H52" s="180"/>
      <c r="I52" s="180"/>
    </row>
    <row r="53" spans="1:9" s="180" customFormat="1" ht="13.5" customHeight="1" x14ac:dyDescent="0.25">
      <c r="A53" s="322"/>
      <c r="B53" s="378"/>
      <c r="C53" s="265"/>
      <c r="D53" s="322"/>
      <c r="F53" s="322"/>
      <c r="G53" s="322"/>
    </row>
    <row r="54" spans="1:9" ht="13.5" customHeight="1" x14ac:dyDescent="0.25">
      <c r="A54" s="265"/>
      <c r="B54" s="329" t="s">
        <v>372</v>
      </c>
      <c r="C54" s="380">
        <v>1.02</v>
      </c>
      <c r="D54" s="329" t="s">
        <v>166</v>
      </c>
      <c r="F54" s="322"/>
      <c r="G54" s="322"/>
      <c r="H54" s="180"/>
      <c r="I54" s="180"/>
    </row>
    <row r="55" spans="1:9" ht="13.5" customHeight="1" x14ac:dyDescent="0.25">
      <c r="A55" s="265"/>
      <c r="B55" s="321" t="s">
        <v>373</v>
      </c>
      <c r="C55" s="276">
        <v>19</v>
      </c>
      <c r="D55" s="321"/>
      <c r="F55" s="322"/>
      <c r="G55" s="322"/>
      <c r="H55" s="180"/>
      <c r="I55" s="180"/>
    </row>
    <row r="56" spans="1:9" ht="13.5" customHeight="1" x14ac:dyDescent="0.25">
      <c r="A56" s="265"/>
      <c r="B56" s="334" t="s">
        <v>374</v>
      </c>
      <c r="C56" s="383">
        <v>6.88</v>
      </c>
      <c r="D56" s="321" t="s">
        <v>163</v>
      </c>
      <c r="F56" s="322"/>
      <c r="G56" s="322"/>
      <c r="H56" s="180"/>
      <c r="I56" s="180"/>
    </row>
    <row r="57" spans="1:9" ht="13.5" customHeight="1" x14ac:dyDescent="0.25">
      <c r="A57" s="265"/>
      <c r="B57" s="335" t="s">
        <v>375</v>
      </c>
      <c r="C57" s="288">
        <v>1.08</v>
      </c>
      <c r="D57" s="321" t="s">
        <v>155</v>
      </c>
      <c r="F57" s="322"/>
      <c r="G57" s="322"/>
      <c r="H57" s="180"/>
      <c r="I57" s="180"/>
    </row>
    <row r="58" spans="1:9" ht="13.5" customHeight="1" x14ac:dyDescent="0.25">
      <c r="A58" s="265"/>
      <c r="B58" s="335" t="s">
        <v>376</v>
      </c>
      <c r="C58" s="288">
        <v>2</v>
      </c>
      <c r="D58" s="321"/>
      <c r="F58" s="322"/>
      <c r="G58" s="322"/>
      <c r="H58" s="180"/>
      <c r="I58" s="180"/>
    </row>
    <row r="59" spans="1:9" ht="13.5" customHeight="1" x14ac:dyDescent="0.25">
      <c r="A59" s="265"/>
      <c r="B59" s="381" t="s">
        <v>156</v>
      </c>
      <c r="C59" s="382">
        <v>0.61</v>
      </c>
      <c r="D59" s="325" t="s">
        <v>157</v>
      </c>
      <c r="F59" s="322"/>
      <c r="G59" s="322"/>
      <c r="H59" s="180"/>
      <c r="I59" s="180"/>
    </row>
    <row r="60" spans="1:9" ht="13.5" customHeight="1" x14ac:dyDescent="0.25">
      <c r="A60" s="265"/>
      <c r="B60" s="379"/>
      <c r="C60" s="288"/>
      <c r="D60" s="288"/>
      <c r="E60" s="322"/>
      <c r="F60" s="322"/>
      <c r="G60" s="322"/>
      <c r="H60" s="180"/>
      <c r="I60" s="180"/>
    </row>
    <row r="61" spans="1:9" ht="13.5" customHeight="1" x14ac:dyDescent="0.25">
      <c r="A61" s="265"/>
      <c r="B61" s="379"/>
      <c r="C61" s="288"/>
      <c r="D61" s="288"/>
      <c r="E61" s="322"/>
      <c r="F61" s="322"/>
      <c r="G61" s="322"/>
      <c r="H61" s="180"/>
      <c r="I61" s="180"/>
    </row>
    <row r="62" spans="1:9" ht="13.5" customHeight="1" x14ac:dyDescent="0.25">
      <c r="A62" s="265" t="s">
        <v>242</v>
      </c>
      <c r="B62" s="379"/>
      <c r="C62" s="288"/>
      <c r="D62" s="288"/>
      <c r="E62" s="322"/>
      <c r="F62" s="322"/>
      <c r="G62" s="322"/>
      <c r="H62" s="180"/>
      <c r="I62" s="180"/>
    </row>
    <row r="63" spans="1:9" ht="24" customHeight="1" x14ac:dyDescent="0.2">
      <c r="B63" s="127" t="s">
        <v>275</v>
      </c>
      <c r="F63" s="180"/>
      <c r="G63" s="180"/>
      <c r="H63" s="180"/>
      <c r="I63" s="180"/>
    </row>
    <row r="64" spans="1:9" ht="21" customHeight="1" x14ac:dyDescent="0.25">
      <c r="B64" s="133" t="s">
        <v>219</v>
      </c>
      <c r="F64" s="246"/>
    </row>
    <row r="65" spans="1:5" ht="14.25" customHeight="1" x14ac:dyDescent="0.25">
      <c r="B65" s="96" t="s">
        <v>379</v>
      </c>
      <c r="C65" s="167">
        <v>7.0000000000000007E-2</v>
      </c>
      <c r="D65" s="168" t="s">
        <v>257</v>
      </c>
    </row>
    <row r="66" spans="1:5" ht="15" customHeight="1" x14ac:dyDescent="0.25"/>
    <row r="67" spans="1:5" ht="15" customHeight="1" x14ac:dyDescent="0.25">
      <c r="B67" s="96" t="s">
        <v>211</v>
      </c>
      <c r="C67" s="160" t="s">
        <v>212</v>
      </c>
      <c r="D67" s="167" t="s">
        <v>149</v>
      </c>
    </row>
    <row r="68" spans="1:5" ht="14.25" customHeight="1" x14ac:dyDescent="0.25">
      <c r="B68" s="131" t="s">
        <v>151</v>
      </c>
      <c r="C68" s="169">
        <v>0.61</v>
      </c>
      <c r="D68" s="170" t="s">
        <v>152</v>
      </c>
    </row>
    <row r="69" spans="1:5" ht="14.25" customHeight="1" x14ac:dyDescent="0.25">
      <c r="B69" s="131" t="str">
        <f>"Batt Insulation R"&amp;C69</f>
        <v>Batt Insulation R38</v>
      </c>
      <c r="C69" s="222">
        <f>E10</f>
        <v>38</v>
      </c>
      <c r="D69" s="131"/>
    </row>
    <row r="70" spans="1:5" ht="14.25" customHeight="1" x14ac:dyDescent="0.25">
      <c r="B70" s="131" t="s">
        <v>153</v>
      </c>
      <c r="C70" s="169">
        <v>4.38</v>
      </c>
      <c r="D70" s="131" t="s">
        <v>154</v>
      </c>
    </row>
    <row r="71" spans="1:5" ht="14.25" customHeight="1" x14ac:dyDescent="0.25">
      <c r="B71" s="131" t="s">
        <v>215</v>
      </c>
      <c r="C71" s="169">
        <v>0.45</v>
      </c>
      <c r="D71" s="131" t="s">
        <v>155</v>
      </c>
    </row>
    <row r="72" spans="1:5" ht="14.25" customHeight="1" x14ac:dyDescent="0.25">
      <c r="B72" s="132" t="s">
        <v>156</v>
      </c>
      <c r="C72" s="171">
        <v>0.92</v>
      </c>
      <c r="D72" s="132" t="s">
        <v>157</v>
      </c>
    </row>
    <row r="75" spans="1:5" ht="13.15" x14ac:dyDescent="0.25">
      <c r="B75" s="162" t="s">
        <v>242</v>
      </c>
    </row>
    <row r="76" spans="1:5" ht="36.75" customHeight="1" x14ac:dyDescent="0.2">
      <c r="B76" s="486" t="s">
        <v>274</v>
      </c>
      <c r="C76" s="486"/>
      <c r="D76" s="486"/>
      <c r="E76" s="180"/>
    </row>
    <row r="77" spans="1:5" ht="16.5" customHeight="1" x14ac:dyDescent="0.25">
      <c r="A77" s="180"/>
      <c r="B77" s="96" t="s">
        <v>222</v>
      </c>
      <c r="C77" s="99">
        <f>0.25</f>
        <v>0.25</v>
      </c>
      <c r="D77" s="160"/>
      <c r="E77" s="180"/>
    </row>
    <row r="78" spans="1:5" ht="13.5" customHeight="1" x14ac:dyDescent="0.25">
      <c r="A78" s="172"/>
      <c r="E78" s="129"/>
    </row>
    <row r="79" spans="1:5" ht="16.5" customHeight="1" x14ac:dyDescent="0.25">
      <c r="B79" s="133" t="s">
        <v>220</v>
      </c>
      <c r="E79" s="181"/>
    </row>
    <row r="80" spans="1:5" ht="16.5" customHeight="1" x14ac:dyDescent="0.25">
      <c r="B80" s="96" t="s">
        <v>211</v>
      </c>
      <c r="C80" s="160" t="s">
        <v>212</v>
      </c>
      <c r="D80" s="167" t="s">
        <v>149</v>
      </c>
      <c r="E80" s="181"/>
    </row>
    <row r="81" spans="1:6" ht="15.75" customHeight="1" x14ac:dyDescent="0.25">
      <c r="A81" s="169"/>
      <c r="B81" s="130" t="s">
        <v>162</v>
      </c>
      <c r="C81" s="182">
        <v>0.25</v>
      </c>
      <c r="D81" s="174" t="s">
        <v>157</v>
      </c>
      <c r="E81" s="183"/>
    </row>
    <row r="82" spans="1:6" ht="15.75" customHeight="1" x14ac:dyDescent="0.2">
      <c r="A82" s="169"/>
      <c r="B82" s="131" t="s">
        <v>221</v>
      </c>
      <c r="C82" s="175">
        <f>0.8/9.7</f>
        <v>8.2474226804123724E-2</v>
      </c>
      <c r="D82" s="184" t="s">
        <v>163</v>
      </c>
      <c r="E82" s="183"/>
    </row>
    <row r="83" spans="1:6" ht="15.75" customHeight="1" x14ac:dyDescent="0.25">
      <c r="A83" s="169"/>
      <c r="B83" s="131" t="s">
        <v>277</v>
      </c>
      <c r="C83" s="183">
        <v>0.79</v>
      </c>
      <c r="D83" s="185" t="s">
        <v>155</v>
      </c>
      <c r="E83" s="186"/>
    </row>
    <row r="84" spans="1:6" ht="15.75" customHeight="1" x14ac:dyDescent="0.25">
      <c r="A84" s="169"/>
      <c r="B84" s="131" t="s">
        <v>153</v>
      </c>
      <c r="C84" s="183">
        <v>4.38</v>
      </c>
      <c r="D84" s="185" t="s">
        <v>154</v>
      </c>
      <c r="E84" s="169"/>
    </row>
    <row r="85" spans="1:6" ht="15.75" customHeight="1" x14ac:dyDescent="0.25">
      <c r="A85" s="169"/>
      <c r="B85" s="131" t="str">
        <f>"Fiber Glass Batt Insulation"&amp;" R"&amp;C85</f>
        <v>Fiber Glass Batt Insulation R13</v>
      </c>
      <c r="C85" s="221">
        <f>E19</f>
        <v>13</v>
      </c>
      <c r="D85" s="187"/>
      <c r="E85" s="169"/>
    </row>
    <row r="86" spans="1:6" ht="15.75" customHeight="1" x14ac:dyDescent="0.25">
      <c r="A86" s="169"/>
      <c r="B86" s="131" t="s">
        <v>215</v>
      </c>
      <c r="C86" s="169">
        <v>0.45</v>
      </c>
      <c r="D86" s="170" t="s">
        <v>155</v>
      </c>
    </row>
    <row r="87" spans="1:6" ht="15.75" customHeight="1" x14ac:dyDescent="0.25">
      <c r="A87" s="169"/>
      <c r="B87" s="132" t="s">
        <v>167</v>
      </c>
      <c r="C87" s="171">
        <v>0.68</v>
      </c>
      <c r="D87" s="188" t="s">
        <v>157</v>
      </c>
    </row>
    <row r="88" spans="1:6" ht="14.25" customHeight="1" x14ac:dyDescent="0.25"/>
    <row r="91" spans="1:6" ht="14.45" x14ac:dyDescent="0.25">
      <c r="B91" s="328" t="s">
        <v>307</v>
      </c>
      <c r="C91" s="328"/>
      <c r="D91" s="333"/>
      <c r="E91" s="333"/>
      <c r="F91" s="333"/>
    </row>
    <row r="92" spans="1:6" ht="14.45" x14ac:dyDescent="0.25">
      <c r="B92" s="307"/>
      <c r="C92" s="307"/>
      <c r="D92" s="307"/>
      <c r="E92" s="307"/>
      <c r="F92" s="307"/>
    </row>
    <row r="93" spans="1:6" ht="36.75" customHeight="1" x14ac:dyDescent="0.2">
      <c r="A93" s="166"/>
      <c r="B93" s="486" t="s">
        <v>308</v>
      </c>
      <c r="C93" s="486"/>
      <c r="D93" s="486"/>
      <c r="E93" s="307"/>
      <c r="F93" s="307"/>
    </row>
    <row r="94" spans="1:6" ht="14.45" x14ac:dyDescent="0.25">
      <c r="A94" s="166"/>
      <c r="B94" s="333" t="s">
        <v>309</v>
      </c>
      <c r="C94" s="333"/>
      <c r="D94" s="333"/>
      <c r="E94" s="65"/>
      <c r="F94" s="65"/>
    </row>
    <row r="95" spans="1:6" ht="14.45" x14ac:dyDescent="0.25">
      <c r="A95" s="166"/>
      <c r="B95" s="318"/>
      <c r="C95" s="366" t="s">
        <v>365</v>
      </c>
      <c r="D95" s="280" t="s">
        <v>149</v>
      </c>
      <c r="E95" s="358"/>
      <c r="F95" s="65"/>
    </row>
    <row r="96" spans="1:6" ht="14.45" x14ac:dyDescent="0.25">
      <c r="A96" s="166"/>
      <c r="B96" s="318" t="s">
        <v>363</v>
      </c>
      <c r="C96" s="367">
        <v>0.8</v>
      </c>
      <c r="D96" s="370"/>
      <c r="E96" s="358"/>
      <c r="F96" s="65"/>
    </row>
    <row r="97" spans="2:6" ht="14.45" x14ac:dyDescent="0.25">
      <c r="B97" s="368" t="s">
        <v>362</v>
      </c>
      <c r="C97" s="339">
        <v>3.5</v>
      </c>
      <c r="D97" s="321" t="s">
        <v>318</v>
      </c>
      <c r="E97" s="358"/>
      <c r="F97" s="358"/>
    </row>
    <row r="98" spans="2:6" ht="14.45" x14ac:dyDescent="0.25">
      <c r="B98" s="308" t="s">
        <v>368</v>
      </c>
      <c r="C98" s="339">
        <v>3.5</v>
      </c>
      <c r="D98" s="321" t="s">
        <v>318</v>
      </c>
      <c r="E98" s="65"/>
      <c r="F98" s="65"/>
    </row>
    <row r="99" spans="2:6" ht="14.45" x14ac:dyDescent="0.25">
      <c r="B99" s="308" t="s">
        <v>315</v>
      </c>
      <c r="C99" s="339">
        <v>3.5</v>
      </c>
      <c r="D99" s="321" t="s">
        <v>318</v>
      </c>
      <c r="E99" s="65"/>
      <c r="F99" s="65"/>
    </row>
    <row r="100" spans="2:6" ht="14.45" x14ac:dyDescent="0.25">
      <c r="B100" s="308" t="s">
        <v>316</v>
      </c>
      <c r="C100" s="339">
        <v>16</v>
      </c>
      <c r="D100" s="273"/>
      <c r="E100" s="65"/>
      <c r="F100" s="65"/>
    </row>
    <row r="101" spans="2:6" ht="14.45" x14ac:dyDescent="0.25">
      <c r="B101" s="308" t="s">
        <v>317</v>
      </c>
      <c r="C101" s="291">
        <v>1.25</v>
      </c>
      <c r="D101" s="321" t="s">
        <v>318</v>
      </c>
      <c r="E101" s="65"/>
      <c r="F101" s="358"/>
    </row>
    <row r="102" spans="2:6" ht="14.45" x14ac:dyDescent="0.25">
      <c r="B102" s="324" t="s">
        <v>319</v>
      </c>
      <c r="C102" s="352">
        <v>0.02</v>
      </c>
      <c r="D102" s="325" t="s">
        <v>318</v>
      </c>
      <c r="E102" s="65"/>
      <c r="F102" s="358"/>
    </row>
    <row r="103" spans="2:6" ht="14.45" x14ac:dyDescent="0.25">
      <c r="E103" s="358"/>
      <c r="F103" s="65"/>
    </row>
    <row r="104" spans="2:6" ht="15" x14ac:dyDescent="0.2">
      <c r="B104" s="354" t="s">
        <v>366</v>
      </c>
      <c r="C104" s="147" t="s">
        <v>311</v>
      </c>
      <c r="D104" s="354"/>
      <c r="E104" s="350"/>
      <c r="F104" s="307"/>
    </row>
    <row r="105" spans="2:6" ht="14.45" x14ac:dyDescent="0.25">
      <c r="B105" s="318" t="s">
        <v>364</v>
      </c>
      <c r="C105" s="365">
        <f>C96/9.7</f>
        <v>8.2474226804123724E-2</v>
      </c>
      <c r="D105" s="329" t="s">
        <v>163</v>
      </c>
      <c r="E105" s="358"/>
      <c r="F105" s="307"/>
    </row>
    <row r="106" spans="2:6" ht="14.45" x14ac:dyDescent="0.25">
      <c r="B106" s="308" t="s">
        <v>277</v>
      </c>
      <c r="C106" s="274">
        <v>0.79</v>
      </c>
      <c r="D106" s="321" t="s">
        <v>155</v>
      </c>
      <c r="E106" s="350"/>
      <c r="F106" s="307"/>
    </row>
    <row r="107" spans="2:6" ht="14.45" x14ac:dyDescent="0.25">
      <c r="B107" s="308" t="s">
        <v>313</v>
      </c>
      <c r="C107" s="371">
        <f>E12</f>
        <v>13</v>
      </c>
      <c r="D107" s="364"/>
      <c r="E107" s="350"/>
      <c r="F107" s="307"/>
    </row>
    <row r="108" spans="2:6" ht="14.45" x14ac:dyDescent="0.25">
      <c r="B108" s="308" t="s">
        <v>215</v>
      </c>
      <c r="C108" s="274">
        <v>0.45</v>
      </c>
      <c r="D108" s="321" t="s">
        <v>155</v>
      </c>
      <c r="E108" s="350"/>
      <c r="F108" s="307"/>
    </row>
    <row r="109" spans="2:6" ht="14.45" x14ac:dyDescent="0.25">
      <c r="B109" s="324" t="s">
        <v>320</v>
      </c>
      <c r="C109" s="277">
        <v>1.0999999999999999E-2</v>
      </c>
      <c r="D109" s="325" t="s">
        <v>318</v>
      </c>
      <c r="E109" s="350"/>
      <c r="F109" s="307"/>
    </row>
    <row r="110" spans="2:6" ht="14.45" x14ac:dyDescent="0.25">
      <c r="B110" s="65"/>
      <c r="C110" s="350"/>
      <c r="D110" s="353"/>
      <c r="E110" s="350"/>
      <c r="F110" s="307"/>
    </row>
    <row r="111" spans="2:6" ht="14.45" x14ac:dyDescent="0.25">
      <c r="B111" s="65"/>
      <c r="C111" s="65"/>
      <c r="D111" s="65"/>
      <c r="E111" s="65"/>
      <c r="F111" s="307"/>
    </row>
    <row r="112" spans="2:6" ht="14.45" x14ac:dyDescent="0.25">
      <c r="B112" s="65"/>
      <c r="C112" s="65"/>
      <c r="D112" s="65"/>
      <c r="E112" s="65"/>
      <c r="F112" s="307"/>
    </row>
    <row r="113" spans="2:6" ht="14.45" x14ac:dyDescent="0.25">
      <c r="B113" s="202" t="s">
        <v>189</v>
      </c>
      <c r="E113" s="350"/>
      <c r="F113" s="307"/>
    </row>
    <row r="114" spans="2:6" ht="30" customHeight="1" x14ac:dyDescent="0.25">
      <c r="B114" s="481" t="s">
        <v>190</v>
      </c>
      <c r="C114" s="481"/>
      <c r="D114" s="481"/>
      <c r="E114" s="350"/>
      <c r="F114" s="307"/>
    </row>
    <row r="115" spans="2:6" ht="14.45" x14ac:dyDescent="0.25">
      <c r="B115" s="65"/>
      <c r="C115" s="350"/>
      <c r="D115" s="350"/>
      <c r="E115" s="350"/>
      <c r="F115" s="307"/>
    </row>
    <row r="116" spans="2:6" ht="14.45" x14ac:dyDescent="0.25">
      <c r="B116" s="65"/>
      <c r="C116" s="350"/>
      <c r="D116" s="350"/>
      <c r="E116" s="350"/>
      <c r="F116" s="307"/>
    </row>
    <row r="117" spans="2:6" ht="14.45" x14ac:dyDescent="0.25">
      <c r="B117" s="65"/>
      <c r="C117" s="350"/>
      <c r="D117" s="353"/>
      <c r="E117" s="350"/>
      <c r="F117" s="307"/>
    </row>
    <row r="118" spans="2:6" ht="14.45" x14ac:dyDescent="0.25">
      <c r="B118" s="65"/>
      <c r="C118" s="350"/>
      <c r="D118" s="350"/>
      <c r="E118" s="350"/>
      <c r="F118" s="307"/>
    </row>
    <row r="133" spans="2:6" ht="14.45" x14ac:dyDescent="0.25">
      <c r="B133" s="355"/>
      <c r="C133" s="350"/>
      <c r="D133" s="353"/>
      <c r="E133" s="350"/>
      <c r="F133" s="307"/>
    </row>
    <row r="134" spans="2:6" ht="14.45" x14ac:dyDescent="0.25">
      <c r="B134" s="65"/>
      <c r="C134" s="65"/>
      <c r="D134" s="65"/>
      <c r="E134" s="65"/>
      <c r="F134" s="307"/>
    </row>
    <row r="135" spans="2:6" ht="14.45" x14ac:dyDescent="0.25">
      <c r="B135" s="65"/>
      <c r="C135" s="65"/>
      <c r="D135" s="65"/>
      <c r="E135" s="65"/>
      <c r="F135" s="307"/>
    </row>
    <row r="136" spans="2:6" ht="14.45" x14ac:dyDescent="0.25">
      <c r="B136" s="350"/>
      <c r="C136" s="350"/>
      <c r="D136" s="350"/>
      <c r="E136" s="350"/>
      <c r="F136" s="307"/>
    </row>
    <row r="137" spans="2:6" ht="14.45" x14ac:dyDescent="0.25">
      <c r="B137" s="359"/>
      <c r="C137" s="350"/>
      <c r="D137" s="356"/>
      <c r="E137" s="350"/>
      <c r="F137" s="307"/>
    </row>
    <row r="138" spans="2:6" ht="14.45" x14ac:dyDescent="0.25">
      <c r="B138" s="359"/>
      <c r="C138" s="350"/>
      <c r="D138" s="351"/>
      <c r="E138" s="350"/>
      <c r="F138" s="307"/>
    </row>
    <row r="139" spans="2:6" ht="14.45" x14ac:dyDescent="0.25">
      <c r="B139" s="359"/>
      <c r="C139" s="350"/>
      <c r="D139" s="356"/>
      <c r="E139" s="350"/>
      <c r="F139" s="307"/>
    </row>
    <row r="140" spans="2:6" ht="14.45" x14ac:dyDescent="0.25">
      <c r="B140" s="359"/>
      <c r="C140" s="350"/>
      <c r="D140" s="356"/>
      <c r="E140" s="350"/>
      <c r="F140" s="307"/>
    </row>
    <row r="141" spans="2:6" ht="14.45" x14ac:dyDescent="0.25">
      <c r="B141" s="359"/>
      <c r="C141" s="350"/>
      <c r="D141" s="360"/>
      <c r="E141" s="350"/>
      <c r="F141" s="307"/>
    </row>
    <row r="142" spans="2:6" ht="14.45" x14ac:dyDescent="0.25">
      <c r="B142" s="65"/>
      <c r="C142" s="350"/>
      <c r="D142" s="360"/>
      <c r="E142" s="350"/>
      <c r="F142" s="307"/>
    </row>
    <row r="143" spans="2:6" ht="14.45" x14ac:dyDescent="0.25">
      <c r="B143" s="65"/>
      <c r="C143" s="350"/>
      <c r="D143" s="360"/>
      <c r="E143" s="350"/>
      <c r="F143" s="307"/>
    </row>
    <row r="144" spans="2:6" ht="14.45" x14ac:dyDescent="0.25">
      <c r="B144" s="65"/>
      <c r="C144" s="65"/>
      <c r="D144" s="65"/>
      <c r="E144" s="65"/>
      <c r="F144" s="307"/>
    </row>
    <row r="145" spans="2:6" ht="14.45" x14ac:dyDescent="0.25">
      <c r="B145" s="350"/>
      <c r="C145" s="350"/>
      <c r="D145" s="350"/>
      <c r="E145" s="350"/>
      <c r="F145" s="307"/>
    </row>
    <row r="146" spans="2:6" ht="14.45" x14ac:dyDescent="0.25">
      <c r="B146" s="361"/>
      <c r="C146" s="362"/>
      <c r="D146" s="357"/>
      <c r="E146" s="350"/>
      <c r="F146" s="307"/>
    </row>
    <row r="147" spans="2:6" ht="14.45" x14ac:dyDescent="0.25">
      <c r="B147" s="361"/>
      <c r="C147" s="362"/>
      <c r="D147" s="357"/>
      <c r="E147" s="350"/>
      <c r="F147" s="307"/>
    </row>
    <row r="148" spans="2:6" ht="14.45" x14ac:dyDescent="0.25">
      <c r="B148" s="65"/>
      <c r="C148" s="363"/>
      <c r="D148" s="351"/>
      <c r="E148" s="350"/>
      <c r="F148" s="307"/>
    </row>
    <row r="149" spans="2:6" ht="14.45" x14ac:dyDescent="0.25">
      <c r="B149" s="65"/>
      <c r="C149" s="363"/>
      <c r="D149" s="351"/>
      <c r="E149" s="350"/>
      <c r="F149" s="307"/>
    </row>
    <row r="150" spans="2:6" ht="14.45" x14ac:dyDescent="0.25">
      <c r="B150" s="65"/>
      <c r="C150" s="65"/>
      <c r="D150" s="351"/>
      <c r="E150" s="350"/>
      <c r="F150" s="307"/>
    </row>
    <row r="151" spans="2:6" ht="14.45" x14ac:dyDescent="0.25">
      <c r="B151" s="65"/>
      <c r="C151" s="65"/>
      <c r="D151" s="351"/>
      <c r="E151" s="350"/>
      <c r="F151" s="307"/>
    </row>
    <row r="152" spans="2:6" ht="14.45" x14ac:dyDescent="0.25">
      <c r="B152" s="65"/>
      <c r="C152" s="351"/>
      <c r="D152" s="360"/>
      <c r="E152" s="350"/>
      <c r="F152" s="307"/>
    </row>
    <row r="153" spans="2:6" ht="14.45" x14ac:dyDescent="0.25">
      <c r="B153" s="65"/>
      <c r="C153" s="350"/>
      <c r="D153" s="350"/>
      <c r="E153" s="350"/>
      <c r="F153" s="307"/>
    </row>
    <row r="154" spans="2:6" ht="14.45" x14ac:dyDescent="0.25">
      <c r="B154" s="65"/>
      <c r="C154" s="351"/>
      <c r="D154" s="350"/>
      <c r="E154" s="350"/>
      <c r="F154" s="307"/>
    </row>
    <row r="155" spans="2:6" ht="14.45" x14ac:dyDescent="0.25">
      <c r="B155" s="65"/>
      <c r="C155" s="350"/>
      <c r="D155" s="350"/>
      <c r="E155" s="65"/>
      <c r="F155" s="307"/>
    </row>
    <row r="156" spans="2:6" ht="14.45" x14ac:dyDescent="0.25">
      <c r="B156" s="65"/>
      <c r="C156" s="351"/>
      <c r="D156" s="350"/>
      <c r="E156" s="65"/>
      <c r="F156" s="307"/>
    </row>
    <row r="157" spans="2:6" ht="13.15" x14ac:dyDescent="0.25">
      <c r="B157" s="358"/>
      <c r="C157" s="358"/>
      <c r="D157" s="358"/>
      <c r="E157" s="358"/>
    </row>
  </sheetData>
  <sheetProtection password="BDDF" sheet="1" objects="1" scenarios="1"/>
  <mergeCells count="4">
    <mergeCell ref="B76:D76"/>
    <mergeCell ref="B114:D114"/>
    <mergeCell ref="B93:D93"/>
    <mergeCell ref="B49:D49"/>
  </mergeCells>
  <pageMargins left="0.7" right="0.7" top="0.75" bottom="0.75" header="0.3" footer="0.3"/>
  <pageSetup scale="55" orientation="portrait" r:id="rId1"/>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Normal="100" workbookViewId="0">
      <selection activeCell="E11" sqref="E11"/>
    </sheetView>
  </sheetViews>
  <sheetFormatPr defaultRowHeight="15" x14ac:dyDescent="0.25"/>
  <cols>
    <col min="1" max="1" width="4.42578125" customWidth="1"/>
    <col min="2" max="2" width="43.28515625" customWidth="1"/>
    <col min="3" max="4" width="21.28515625" customWidth="1"/>
    <col min="5" max="5" width="21" customWidth="1"/>
    <col min="6" max="6" width="20.140625" customWidth="1"/>
    <col min="7" max="7" width="26.28515625" customWidth="1"/>
    <col min="8" max="8" width="26.28515625" hidden="1" customWidth="1"/>
    <col min="9" max="9" width="24.7109375" customWidth="1"/>
  </cols>
  <sheetData>
    <row r="1" spans="1:8" ht="7.5" customHeight="1" x14ac:dyDescent="0.3">
      <c r="A1" s="13"/>
      <c r="B1" s="13"/>
      <c r="C1" s="13"/>
      <c r="D1" s="13"/>
      <c r="E1" s="13"/>
      <c r="F1" s="13"/>
      <c r="G1" s="13"/>
    </row>
    <row r="3" spans="1:8" ht="34.5" customHeight="1" x14ac:dyDescent="0.3">
      <c r="B3" s="103" t="s">
        <v>25</v>
      </c>
      <c r="C3" s="103" t="s">
        <v>27</v>
      </c>
      <c r="D3" s="469" t="str">
        <f>IF(Instructions!D2="","Enter Vendor's Software Name In Instruction Sheet",Instructions!D2)</f>
        <v>Enter Vendor's Software Name In Instruction Sheet</v>
      </c>
      <c r="E3" s="469"/>
    </row>
    <row r="4" spans="1:8" ht="15" customHeight="1" x14ac:dyDescent="0.3">
      <c r="B4" s="32" t="str">
        <f>D_M03!B2</f>
        <v xml:space="preserve">Prescriptive Test: House M03 (Pr-M03) Characteristics – Location: Miami, Florida. </v>
      </c>
      <c r="C4" s="32"/>
      <c r="D4" s="32"/>
      <c r="E4" s="32"/>
    </row>
    <row r="5" spans="1:8" ht="15" customHeight="1" x14ac:dyDescent="0.3">
      <c r="B5" s="328" t="str">
        <f>D_M03!B3</f>
        <v xml:space="preserve">Single Family Detached Home with No Attached Garage, Single Story, Three bedroom. </v>
      </c>
      <c r="C5" s="32"/>
      <c r="D5" s="32"/>
      <c r="E5" s="32"/>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2" t="str">
        <f>D_M03!B4</f>
        <v>House Pr-M03</v>
      </c>
      <c r="C9" s="10" t="s">
        <v>243</v>
      </c>
      <c r="D9" s="117" t="s">
        <v>75</v>
      </c>
      <c r="E9" s="4"/>
    </row>
    <row r="10" spans="1:8" thickBot="1" x14ac:dyDescent="0.35">
      <c r="C10" s="10" t="s">
        <v>86</v>
      </c>
      <c r="D10" s="10" t="s">
        <v>29</v>
      </c>
      <c r="E10" s="4"/>
    </row>
    <row r="11" spans="1:8" thickBot="1" x14ac:dyDescent="0.35">
      <c r="B11" s="248" t="str">
        <f>D_M03!B8</f>
        <v>Slab-on-grade Floor</v>
      </c>
      <c r="C11" s="104"/>
      <c r="D11" s="106" t="str">
        <f>IF(C11="Complies","Pass","Fail")</f>
        <v>Fail</v>
      </c>
      <c r="E11" s="6"/>
      <c r="H11" s="9">
        <f t="shared" ref="H11:H23" si="0">IF(OR(D11="Not applicable",D11="Software Doesn't Check",D11="Pass"),0,1)</f>
        <v>1</v>
      </c>
    </row>
    <row r="12" spans="1:8" ht="15.75" thickBot="1" x14ac:dyDescent="0.3">
      <c r="B12" s="249" t="str">
        <f>D_M03!B9</f>
        <v>Roof – gable type- 5 in 12 slope No overhangs</v>
      </c>
      <c r="C12" s="104"/>
      <c r="D12" s="106" t="str">
        <f>IF(C12="Complies","Pass","Fail")</f>
        <v>Fail</v>
      </c>
      <c r="E12" s="6"/>
      <c r="H12" s="9">
        <f t="shared" si="0"/>
        <v>1</v>
      </c>
    </row>
    <row r="13" spans="1:8" ht="15.75" thickBot="1" x14ac:dyDescent="0.3">
      <c r="B13" s="249" t="str">
        <f>D_M03!B10</f>
        <v>Ceiling1 –flat under attic</v>
      </c>
      <c r="C13" s="104"/>
      <c r="D13" s="106" t="str">
        <f>IF(C13="Complies","Pass","Fail")</f>
        <v>Fail</v>
      </c>
      <c r="E13" s="6"/>
      <c r="H13" s="9">
        <f t="shared" si="0"/>
        <v>1</v>
      </c>
    </row>
    <row r="14" spans="1:8" thickBot="1" x14ac:dyDescent="0.35">
      <c r="B14" s="249" t="str">
        <f>D_M03!B11</f>
        <v xml:space="preserve">        Skylight</v>
      </c>
      <c r="C14" s="104"/>
      <c r="D14" s="106" t="str">
        <f>IF(C14="Complies","Pass","Fail")</f>
        <v>Fail</v>
      </c>
      <c r="E14" s="6"/>
      <c r="H14" s="9">
        <f t="shared" si="0"/>
        <v>1</v>
      </c>
    </row>
    <row r="15" spans="1:8" ht="15.75" thickBot="1" x14ac:dyDescent="0.3">
      <c r="B15" s="249" t="str">
        <f>D_M03!B12</f>
        <v>Wall 1 –faces North, insulated core CBS2</v>
      </c>
      <c r="C15" s="104"/>
      <c r="D15" s="106" t="str">
        <f>IF(C15="Complies","Pass","Fail")</f>
        <v>Fail</v>
      </c>
      <c r="E15" s="6"/>
      <c r="H15" s="9">
        <f t="shared" si="0"/>
        <v>1</v>
      </c>
    </row>
    <row r="16" spans="1:8" thickBot="1" x14ac:dyDescent="0.35">
      <c r="B16" s="249" t="str">
        <f>D_M03!B13</f>
        <v xml:space="preserve">        Door 1 - </v>
      </c>
      <c r="C16" s="107" t="s">
        <v>63</v>
      </c>
      <c r="D16" s="106" t="s">
        <v>63</v>
      </c>
      <c r="E16" s="6"/>
      <c r="H16" s="9">
        <f t="shared" si="0"/>
        <v>0</v>
      </c>
    </row>
    <row r="17" spans="2:8" ht="15.75" thickBot="1" x14ac:dyDescent="0.3">
      <c r="B17" s="249" t="str">
        <f>D_M03!B14</f>
        <v xml:space="preserve">        Window 1 – Vinyl Frame Low-e Double</v>
      </c>
      <c r="C17" s="107" t="s">
        <v>63</v>
      </c>
      <c r="D17" s="106" t="s">
        <v>63</v>
      </c>
      <c r="E17" s="6"/>
      <c r="H17" s="9">
        <f t="shared" si="0"/>
        <v>0</v>
      </c>
    </row>
    <row r="18" spans="2:8" ht="15.75" thickBot="1" x14ac:dyDescent="0.3">
      <c r="B18" s="249" t="str">
        <f>D_M03!B15</f>
        <v>Wall 2 –faces East, insulated core CBS</v>
      </c>
      <c r="C18" s="104"/>
      <c r="D18" s="106" t="str">
        <f>IF(C18="Complies","Pass","Fail")</f>
        <v>Fail</v>
      </c>
      <c r="E18" s="6"/>
      <c r="H18" s="9">
        <f t="shared" si="0"/>
        <v>1</v>
      </c>
    </row>
    <row r="19" spans="2:8" ht="15.75" thickBot="1" x14ac:dyDescent="0.3">
      <c r="B19" s="249" t="str">
        <f>D_M03!B16</f>
        <v xml:space="preserve">        Window 2 – Vinyl Frame Low-e Double</v>
      </c>
      <c r="C19" s="107" t="s">
        <v>63</v>
      </c>
      <c r="D19" s="106" t="s">
        <v>63</v>
      </c>
      <c r="E19" s="6"/>
      <c r="H19" s="9">
        <f t="shared" si="0"/>
        <v>0</v>
      </c>
    </row>
    <row r="20" spans="2:8" ht="15.75" thickBot="1" x14ac:dyDescent="0.3">
      <c r="B20" s="249" t="str">
        <f>D_M03!B17</f>
        <v>Wall 3 –faces South,  insulated core CBS</v>
      </c>
      <c r="C20" s="104"/>
      <c r="D20" s="106" t="str">
        <f>IF(C20="Complies","Pass","Fail")</f>
        <v>Fail</v>
      </c>
      <c r="E20" s="6"/>
      <c r="H20" s="9">
        <f t="shared" si="0"/>
        <v>1</v>
      </c>
    </row>
    <row r="21" spans="2:8" ht="15.75" thickBot="1" x14ac:dyDescent="0.3">
      <c r="B21" s="249" t="str">
        <f>D_M03!B18</f>
        <v xml:space="preserve">        Window 3 – Vinyl Frame Low-e Double</v>
      </c>
      <c r="C21" s="107" t="s">
        <v>63</v>
      </c>
      <c r="D21" s="106" t="s">
        <v>63</v>
      </c>
      <c r="E21" s="6"/>
      <c r="H21" s="9">
        <f t="shared" si="0"/>
        <v>0</v>
      </c>
    </row>
    <row r="22" spans="2:8" ht="15.75" thickBot="1" x14ac:dyDescent="0.3">
      <c r="B22" s="249" t="str">
        <f>D_M03!B19</f>
        <v>Wall 4 –faces South, Wood3 2x4 Stud</v>
      </c>
      <c r="C22" s="104"/>
      <c r="D22" s="106" t="str">
        <f>IF(C22="Complies","Pass","Fail")</f>
        <v>Fail</v>
      </c>
      <c r="E22" s="6"/>
      <c r="H22" s="9">
        <f t="shared" si="0"/>
        <v>1</v>
      </c>
    </row>
    <row r="23" spans="2:8" ht="15.75" thickBot="1" x14ac:dyDescent="0.3">
      <c r="B23" s="249" t="str">
        <f>D_M03!B20</f>
        <v xml:space="preserve">        Window 4 – Vinyl Frame  Low-e Double</v>
      </c>
      <c r="C23" s="107" t="s">
        <v>63</v>
      </c>
      <c r="D23" s="106" t="s">
        <v>63</v>
      </c>
      <c r="E23" s="6"/>
      <c r="H23" s="9">
        <f t="shared" si="0"/>
        <v>0</v>
      </c>
    </row>
    <row r="24" spans="2:8" ht="15.75" thickBot="1" x14ac:dyDescent="0.3">
      <c r="B24" s="249" t="str">
        <f>D_M03!B21</f>
        <v>Wall 5 –faces West,  insulated core CBS</v>
      </c>
      <c r="C24" s="104"/>
      <c r="D24" s="106" t="str">
        <f>IF(C24="Complies","Pass","Fail")</f>
        <v>Fail</v>
      </c>
      <c r="E24" s="6"/>
      <c r="H24" s="9">
        <f>IF(OR(D24="Not applicable",D24="Software Doesn't Check",D24="Pass"),0,1)</f>
        <v>1</v>
      </c>
    </row>
    <row r="25" spans="2:8" ht="15.75" thickBot="1" x14ac:dyDescent="0.3">
      <c r="B25" s="249" t="str">
        <f>D_M03!B22</f>
        <v xml:space="preserve">        Window 5 – Vinyl Frame Low-e Double</v>
      </c>
      <c r="C25" s="108" t="s">
        <v>63</v>
      </c>
      <c r="D25" s="106" t="str">
        <f>IF(C25="Complies","Pass","Fail")</f>
        <v>Fail</v>
      </c>
      <c r="E25" s="6"/>
      <c r="H25" s="9">
        <f t="shared" ref="H25:H46" si="1">IF(OR(D25="Not applicable",D25="Software Doesn't Check",D25="Pass"),0,1)</f>
        <v>1</v>
      </c>
    </row>
    <row r="26" spans="2:8" thickBot="1" x14ac:dyDescent="0.35">
      <c r="B26" s="249" t="str">
        <f>D_M03!B23</f>
        <v>Infiltration</v>
      </c>
      <c r="C26" s="109"/>
      <c r="D26" s="106" t="str">
        <f>IF(C26="Complies","Pass",IF(C26="Not part of software","Software Doesn't Check","Fail"))</f>
        <v>Fail</v>
      </c>
      <c r="E26" s="6"/>
      <c r="H26" s="9">
        <f t="shared" si="1"/>
        <v>1</v>
      </c>
    </row>
    <row r="27" spans="2:8" ht="15.75" thickBot="1" x14ac:dyDescent="0.3">
      <c r="B27" s="249" t="str">
        <f>D_M03!B24</f>
        <v>Heating – heat pump</v>
      </c>
      <c r="C27" s="110"/>
      <c r="D27" s="106" t="str">
        <f>IF(C27="Complies","Pass",IF(C27="Not part of software","Software Doesn't Check","Fail"))</f>
        <v>Fail</v>
      </c>
      <c r="E27" s="6"/>
      <c r="H27" s="9">
        <f t="shared" si="1"/>
        <v>1</v>
      </c>
    </row>
    <row r="28" spans="2:8" ht="15.75" thickBot="1" x14ac:dyDescent="0.3">
      <c r="B28" s="249" t="str">
        <f>D_M03!B25</f>
        <v>Cooling – heat pump</v>
      </c>
      <c r="C28" s="104"/>
      <c r="D28" s="106" t="str">
        <f>IF(C28="Complies","Pass",IF(C28="Not part of software","Software Doesn't Check","Fail"))</f>
        <v>Fail</v>
      </c>
      <c r="E28" s="6"/>
      <c r="H28" s="9">
        <f t="shared" si="1"/>
        <v>1</v>
      </c>
    </row>
    <row r="29" spans="2:8" ht="15.75" thickBot="1" x14ac:dyDescent="0.3">
      <c r="B29" s="249" t="str">
        <f>D_M03!B26</f>
        <v>Ducts – supply in attic</v>
      </c>
      <c r="C29" s="104"/>
      <c r="D29" s="106" t="str">
        <f>IF(C29="R-Value too low","Pass",IF(C29="Not part of software","Software Doesn't Check","Fail"))</f>
        <v>Fail</v>
      </c>
      <c r="E29" s="6"/>
      <c r="H29" s="9">
        <f t="shared" si="1"/>
        <v>1</v>
      </c>
    </row>
    <row r="30" spans="2:8" ht="15.75" thickBot="1" x14ac:dyDescent="0.3">
      <c r="B30" s="249" t="str">
        <f>D_M03!B27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D_M03!B28</f>
        <v>Duct Tightness</v>
      </c>
      <c r="C31" s="104"/>
      <c r="D31" s="106" t="str">
        <f t="shared" si="2"/>
        <v>Fail</v>
      </c>
      <c r="E31" s="6"/>
      <c r="H31" s="9">
        <f t="shared" si="1"/>
        <v>1</v>
      </c>
    </row>
    <row r="32" spans="2:8" ht="15.75" thickBot="1" x14ac:dyDescent="0.3">
      <c r="B32" s="249" t="str">
        <f>D_M03!B29</f>
        <v>Air Handler – in Conditioned Space</v>
      </c>
      <c r="C32" s="104"/>
      <c r="D32" s="106" t="str">
        <f t="shared" si="2"/>
        <v>Fail</v>
      </c>
      <c r="E32" s="6"/>
      <c r="H32" s="9">
        <f t="shared" si="1"/>
        <v>1</v>
      </c>
    </row>
    <row r="33" spans="1:8" thickBot="1" x14ac:dyDescent="0.35">
      <c r="B33" s="249" t="str">
        <f>D_M03!B30</f>
        <v>Mechanical Ventilation</v>
      </c>
      <c r="C33" s="104"/>
      <c r="D33" s="106" t="str">
        <f t="shared" si="2"/>
        <v>Fail</v>
      </c>
      <c r="E33" s="6"/>
      <c r="H33" s="9">
        <f t="shared" si="1"/>
        <v>1</v>
      </c>
    </row>
    <row r="34" spans="1:8" thickBot="1" x14ac:dyDescent="0.35">
      <c r="B34" s="249" t="str">
        <f>D_M03!B31</f>
        <v>Hot Water System - electric</v>
      </c>
      <c r="C34" s="104"/>
      <c r="D34" s="106" t="str">
        <f t="shared" si="2"/>
        <v>Fail</v>
      </c>
      <c r="E34" s="6"/>
      <c r="H34" s="9">
        <f t="shared" si="1"/>
        <v>1</v>
      </c>
    </row>
    <row r="35" spans="1:8" thickBot="1" x14ac:dyDescent="0.35">
      <c r="B35" s="249" t="str">
        <f>D_M03!B32</f>
        <v>All Hot Water Lines</v>
      </c>
      <c r="C35" s="104"/>
      <c r="D35" s="106" t="str">
        <f t="shared" si="2"/>
        <v>Fail</v>
      </c>
      <c r="E35" s="6"/>
      <c r="H35" s="9">
        <f t="shared" si="1"/>
        <v>1</v>
      </c>
    </row>
    <row r="36" spans="1:8" thickBot="1" x14ac:dyDescent="0.35">
      <c r="B36" s="249" t="str">
        <f>D_M03!B33</f>
        <v>Hot Water Circulation -none</v>
      </c>
      <c r="C36" s="104"/>
      <c r="D36" s="106" t="str">
        <f t="shared" si="2"/>
        <v>Fail</v>
      </c>
      <c r="E36" s="6"/>
      <c r="H36" s="9">
        <f t="shared" si="1"/>
        <v>1</v>
      </c>
    </row>
    <row r="37" spans="1:8" thickBot="1" x14ac:dyDescent="0.35">
      <c r="B37" s="249" t="str">
        <f>D_M03!B34</f>
        <v>Lighting</v>
      </c>
      <c r="C37" s="104"/>
      <c r="D37" s="106" t="str">
        <f t="shared" si="2"/>
        <v>Fail</v>
      </c>
      <c r="E37" s="6"/>
      <c r="H37" s="9">
        <f t="shared" si="1"/>
        <v>1</v>
      </c>
    </row>
    <row r="38" spans="1:8" thickBot="1" x14ac:dyDescent="0.35">
      <c r="B38" s="249" t="str">
        <f>D_M03!B35</f>
        <v>Pool and Spa - none</v>
      </c>
      <c r="C38" s="104"/>
      <c r="D38" s="106" t="str">
        <f t="shared" si="2"/>
        <v>Fail</v>
      </c>
      <c r="E38" s="6"/>
      <c r="H38" s="9">
        <f t="shared" si="1"/>
        <v>1</v>
      </c>
    </row>
    <row r="39" spans="1:8" ht="16.5" customHeight="1" thickBot="1" x14ac:dyDescent="0.35">
      <c r="B39" s="249" t="str">
        <f>D_M03!B38</f>
        <v>Area Weighted Fenestration U-Factor Value</v>
      </c>
      <c r="C39" s="105"/>
      <c r="D39" s="106" t="str">
        <f>IF(C39&gt;UA_M03!M27,IF(C39&lt;=UA_M03!M28,"Pass","Fail"),"Fail")</f>
        <v>Fail</v>
      </c>
      <c r="E39" s="7"/>
      <c r="H39" s="9">
        <f t="shared" si="1"/>
        <v>1</v>
      </c>
    </row>
    <row r="40" spans="1:8" ht="16.5" customHeight="1" thickBot="1" x14ac:dyDescent="0.35">
      <c r="B40" s="250" t="str">
        <f>D_M03!B39</f>
        <v>Area Weighted Fenestration SHGC Value</v>
      </c>
      <c r="C40" s="104"/>
      <c r="D40" s="106" t="str">
        <f>IF(C40&gt;UA_M03!Q27,IF(C40&lt;=UA_M03!Q28,"Pass","Fail"),"Fail")</f>
        <v>Fail</v>
      </c>
      <c r="E40" s="7"/>
      <c r="H40" s="9">
        <f t="shared" si="1"/>
        <v>1</v>
      </c>
    </row>
    <row r="41" spans="1:8" ht="16.5" customHeight="1" thickBot="1" x14ac:dyDescent="0.35">
      <c r="B41" s="250" t="str">
        <f>D_M03!B40</f>
        <v>Total Thermal Envelope UA Value</v>
      </c>
      <c r="C41" s="111" t="s">
        <v>63</v>
      </c>
      <c r="D41" s="106" t="str">
        <f>IF(C41="Complies","Not applicable",IF(C41="Not applicable","Not applicable","Fail"))</f>
        <v>Not applicable</v>
      </c>
      <c r="E41" s="7"/>
      <c r="H41" s="9">
        <f t="shared" si="1"/>
        <v>0</v>
      </c>
    </row>
    <row r="42" spans="1:8" ht="16.5" customHeight="1" thickBot="1" x14ac:dyDescent="0.35">
      <c r="B42" s="250" t="str">
        <f>D_M03!B41</f>
        <v>Area Weighted Fenestration U-Factor Result</v>
      </c>
      <c r="C42" s="104"/>
      <c r="D42" s="106" t="str">
        <f>IF(C42="Complies","Pass","Fail")</f>
        <v>Fail</v>
      </c>
      <c r="E42" s="6"/>
      <c r="H42" s="9">
        <f t="shared" si="1"/>
        <v>1</v>
      </c>
    </row>
    <row r="43" spans="1:8" ht="16.5" customHeight="1" thickBot="1" x14ac:dyDescent="0.35">
      <c r="B43" s="250" t="str">
        <f>D_M03!B42</f>
        <v>Area Weighted Fenestration SHGC Result</v>
      </c>
      <c r="C43" s="104"/>
      <c r="D43" s="106" t="str">
        <f>IF(C43="Complies","Pass","Fail")</f>
        <v>Fail</v>
      </c>
      <c r="E43" s="6"/>
      <c r="H43" s="9">
        <f t="shared" si="1"/>
        <v>1</v>
      </c>
    </row>
    <row r="44" spans="1:8" ht="16.5" customHeight="1" thickBot="1" x14ac:dyDescent="0.35">
      <c r="B44" s="250" t="str">
        <f>D_M03!B43</f>
        <v>Baseline Thermal Envelope UA Value</v>
      </c>
      <c r="C44" s="112" t="s">
        <v>63</v>
      </c>
      <c r="D44" s="106" t="str">
        <f>IF(C44="Complies","Not applicable",IF(C44="Not applicable","Not applicable","Fail"))</f>
        <v>Not applicable</v>
      </c>
      <c r="E44" s="6"/>
      <c r="H44" s="9">
        <f t="shared" si="1"/>
        <v>0</v>
      </c>
    </row>
    <row r="45" spans="1:8" ht="16.5" customHeight="1" thickBot="1" x14ac:dyDescent="0.35">
      <c r="B45" s="250" t="str">
        <f>D_M03!B44</f>
        <v>Total Thermal Envelope UA Result</v>
      </c>
      <c r="C45" s="112" t="s">
        <v>63</v>
      </c>
      <c r="D45" s="106" t="str">
        <f>IF(C45="Complies","Not applicable",IF(C45="Not applicable","Not applicable","Fail"))</f>
        <v>Not applicable</v>
      </c>
      <c r="H45" s="9">
        <f t="shared" si="1"/>
        <v>0</v>
      </c>
    </row>
    <row r="46" spans="1:8" ht="16.5" customHeight="1" thickBot="1" x14ac:dyDescent="0.35">
      <c r="B46" s="250" t="str">
        <f>D_M03!B45</f>
        <v>House Complies?</v>
      </c>
      <c r="C46" s="104"/>
      <c r="D46" s="106" t="str">
        <f>IF(C46="No","Pass","Fail")</f>
        <v>Fail</v>
      </c>
      <c r="H46" s="9">
        <f t="shared" si="1"/>
        <v>1</v>
      </c>
    </row>
    <row r="47" spans="1:8" ht="21.6" customHeight="1" x14ac:dyDescent="0.5">
      <c r="B47" s="19"/>
      <c r="C47" s="15" t="s">
        <v>94</v>
      </c>
      <c r="D47" s="16" t="str">
        <f>IF(H47&gt;0,"FAIL","PASS")</f>
        <v>FAIL</v>
      </c>
      <c r="H47">
        <f xml:space="preserve"> SUM(H11:H46)</f>
        <v>28</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3"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D_M03!B4</f>
        <v>House Pr-M03</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D_M03!B8</f>
        <v>Slab-on-grade Floor</v>
      </c>
      <c r="C58" s="107"/>
      <c r="D58" s="107"/>
      <c r="E58" s="104"/>
      <c r="F58" s="106" t="str">
        <f>IF(E58="Complies","Pass","Fail")</f>
        <v>Fail</v>
      </c>
      <c r="H58" s="9">
        <f>IF(OR(F58="Not applicable",F58="Software Doesn't Check",F58="Pass"),0,1)</f>
        <v>1</v>
      </c>
    </row>
    <row r="59" spans="1:8" ht="15.75" thickBot="1" x14ac:dyDescent="0.3">
      <c r="B59" s="249" t="str">
        <f>D_M03!B9</f>
        <v>Roof – gable type- 5 in 12 slope No overhangs</v>
      </c>
      <c r="C59" s="107"/>
      <c r="D59" s="107"/>
      <c r="E59" s="104"/>
      <c r="F59" s="106" t="str">
        <f>IF(E59="Complies","Pass","Fail")</f>
        <v>Fail</v>
      </c>
      <c r="H59" s="9">
        <f t="shared" ref="H59:H93" si="3">IF(OR(F59="Not applicable",F59="Software Doesn't Check",F59="Pass"),0,1)</f>
        <v>1</v>
      </c>
    </row>
    <row r="60" spans="1:8" ht="15.75" thickBot="1" x14ac:dyDescent="0.3">
      <c r="B60" s="249" t="str">
        <f>D_M03!B10</f>
        <v>Ceiling1 –flat under attic</v>
      </c>
      <c r="C60" s="104"/>
      <c r="D60" s="104"/>
      <c r="E60" s="104"/>
      <c r="F60" s="106" t="str">
        <f>IF(E60="Complies","Pass","Fail")</f>
        <v>Fail</v>
      </c>
      <c r="H60" s="9">
        <f t="shared" si="3"/>
        <v>1</v>
      </c>
    </row>
    <row r="61" spans="1:8" thickBot="1" x14ac:dyDescent="0.35">
      <c r="B61" s="249" t="str">
        <f>D_M03!B11</f>
        <v xml:space="preserve">        Skylight</v>
      </c>
      <c r="C61" s="107"/>
      <c r="D61" s="218">
        <f>D_M03!E11</f>
        <v>0.75</v>
      </c>
      <c r="E61" s="104"/>
      <c r="F61" s="106" t="str">
        <f>IF(E61="Complies","Pass","Fail")</f>
        <v>Fail</v>
      </c>
      <c r="H61" s="9">
        <f t="shared" si="3"/>
        <v>1</v>
      </c>
    </row>
    <row r="62" spans="1:8" ht="15.75" thickBot="1" x14ac:dyDescent="0.3">
      <c r="B62" s="249" t="str">
        <f>D_M03!B12</f>
        <v>Wall 1 –faces North, insulated core CBS2</v>
      </c>
      <c r="C62" s="104"/>
      <c r="D62" s="104"/>
      <c r="E62" s="104"/>
      <c r="F62" s="106" t="str">
        <f>IF(E62="Complies","Pass","Fail")</f>
        <v>Fail</v>
      </c>
      <c r="H62" s="9">
        <f t="shared" si="3"/>
        <v>1</v>
      </c>
    </row>
    <row r="63" spans="1:8" thickBot="1" x14ac:dyDescent="0.35">
      <c r="B63" s="249" t="str">
        <f>D_M03!B13</f>
        <v xml:space="preserve">        Door 1 - </v>
      </c>
      <c r="C63" s="107"/>
      <c r="D63" s="218">
        <f>D_M03!E13</f>
        <v>0.65</v>
      </c>
      <c r="E63" s="111" t="s">
        <v>63</v>
      </c>
      <c r="F63" s="106" t="s">
        <v>63</v>
      </c>
      <c r="H63" s="9">
        <f t="shared" si="3"/>
        <v>0</v>
      </c>
    </row>
    <row r="64" spans="1:8" ht="15.75" thickBot="1" x14ac:dyDescent="0.3">
      <c r="B64" s="249" t="str">
        <f>D_M03!B14</f>
        <v xml:space="preserve">        Window 1 – Vinyl Frame Low-e Double</v>
      </c>
      <c r="C64" s="107"/>
      <c r="D64" s="218">
        <f>D_M03!E14</f>
        <v>0.65</v>
      </c>
      <c r="E64" s="111" t="s">
        <v>63</v>
      </c>
      <c r="F64" s="106" t="s">
        <v>63</v>
      </c>
      <c r="H64" s="9">
        <f t="shared" si="3"/>
        <v>0</v>
      </c>
    </row>
    <row r="65" spans="2:8" ht="15.75" thickBot="1" x14ac:dyDescent="0.3">
      <c r="B65" s="249" t="str">
        <f>D_M03!B15</f>
        <v>Wall 2 –faces East, insulated core CBS</v>
      </c>
      <c r="C65" s="104"/>
      <c r="D65" s="104"/>
      <c r="E65" s="104"/>
      <c r="F65" s="106" t="str">
        <f>IF(E65="Complies","Pass","Fail")</f>
        <v>Fail</v>
      </c>
      <c r="H65" s="9">
        <f t="shared" si="3"/>
        <v>1</v>
      </c>
    </row>
    <row r="66" spans="2:8" ht="15.75" thickBot="1" x14ac:dyDescent="0.3">
      <c r="B66" s="249" t="str">
        <f>D_M03!B16</f>
        <v xml:space="preserve">        Window 2 – Vinyl Frame Low-e Double</v>
      </c>
      <c r="C66" s="107"/>
      <c r="D66" s="218">
        <f>D_M03!E16</f>
        <v>0.65</v>
      </c>
      <c r="E66" s="111" t="s">
        <v>63</v>
      </c>
      <c r="F66" s="106" t="s">
        <v>63</v>
      </c>
      <c r="H66" s="9">
        <f t="shared" si="3"/>
        <v>0</v>
      </c>
    </row>
    <row r="67" spans="2:8" ht="15.75" thickBot="1" x14ac:dyDescent="0.3">
      <c r="B67" s="249" t="str">
        <f>D_M03!B17</f>
        <v>Wall 3 –faces South,  insulated core CBS</v>
      </c>
      <c r="C67" s="104"/>
      <c r="D67" s="104"/>
      <c r="E67" s="104"/>
      <c r="F67" s="106" t="str">
        <f>IF(E67="Complies","Pass","Fail")</f>
        <v>Fail</v>
      </c>
      <c r="H67" s="9">
        <f t="shared" si="3"/>
        <v>1</v>
      </c>
    </row>
    <row r="68" spans="2:8" ht="15.75" thickBot="1" x14ac:dyDescent="0.3">
      <c r="B68" s="249" t="str">
        <f>D_M03!B18</f>
        <v xml:space="preserve">        Window 3 – Vinyl Frame Low-e Double</v>
      </c>
      <c r="C68" s="107"/>
      <c r="D68" s="218">
        <f>D_M03!E18</f>
        <v>0.65</v>
      </c>
      <c r="E68" s="111" t="s">
        <v>63</v>
      </c>
      <c r="F68" s="106" t="s">
        <v>63</v>
      </c>
      <c r="H68" s="9">
        <f t="shared" si="3"/>
        <v>0</v>
      </c>
    </row>
    <row r="69" spans="2:8" ht="15.75" thickBot="1" x14ac:dyDescent="0.3">
      <c r="B69" s="249" t="str">
        <f>D_M03!B19</f>
        <v>Wall 4 –faces South, Wood3 2x4 Stud</v>
      </c>
      <c r="C69" s="104"/>
      <c r="D69" s="104"/>
      <c r="E69" s="104"/>
      <c r="F69" s="106" t="str">
        <f>IF(E69="U-Factor too high","Pass","Fail")</f>
        <v>Fail</v>
      </c>
      <c r="H69" s="9">
        <f t="shared" si="3"/>
        <v>1</v>
      </c>
    </row>
    <row r="70" spans="2:8" ht="15.75" thickBot="1" x14ac:dyDescent="0.3">
      <c r="B70" s="249" t="str">
        <f>D_M03!B20</f>
        <v xml:space="preserve">        Window 4 – Vinyl Frame  Low-e Double</v>
      </c>
      <c r="C70" s="107"/>
      <c r="D70" s="218">
        <f>D_M03!E20</f>
        <v>0.65</v>
      </c>
      <c r="E70" s="111" t="s">
        <v>63</v>
      </c>
      <c r="F70" s="106" t="s">
        <v>63</v>
      </c>
      <c r="H70" s="9">
        <f t="shared" si="3"/>
        <v>0</v>
      </c>
    </row>
    <row r="71" spans="2:8" ht="15.75" thickBot="1" x14ac:dyDescent="0.3">
      <c r="B71" s="249" t="str">
        <f>D_M03!B21</f>
        <v>Wall 5 –faces West,  insulated core CBS</v>
      </c>
      <c r="C71" s="104"/>
      <c r="D71" s="104"/>
      <c r="E71" s="104"/>
      <c r="F71" s="106" t="str">
        <f>IF(E71="Complies","Pass","Fail")</f>
        <v>Fail</v>
      </c>
      <c r="H71" s="9">
        <f t="shared" si="3"/>
        <v>1</v>
      </c>
    </row>
    <row r="72" spans="2:8" ht="15.75" thickBot="1" x14ac:dyDescent="0.3">
      <c r="B72" s="249" t="str">
        <f>D_M03!B22</f>
        <v xml:space="preserve">        Window 5 – Vinyl Frame Low-e Double</v>
      </c>
      <c r="C72" s="107"/>
      <c r="D72" s="218">
        <f>D_M03!E22</f>
        <v>0.65</v>
      </c>
      <c r="E72" s="111" t="s">
        <v>63</v>
      </c>
      <c r="F72" s="106" t="s">
        <v>63</v>
      </c>
      <c r="H72" s="9">
        <f t="shared" si="3"/>
        <v>0</v>
      </c>
    </row>
    <row r="73" spans="2:8" thickBot="1" x14ac:dyDescent="0.35">
      <c r="B73" s="249" t="str">
        <f>D_M03!B23</f>
        <v>Infiltration</v>
      </c>
      <c r="C73" s="107"/>
      <c r="D73" s="107"/>
      <c r="E73" s="113"/>
      <c r="F73" s="106" t="str">
        <f>IF(E73="Complies","Pass",IF(E73="Not part of software","Software Doesn't Check","Fail"))</f>
        <v>Fail</v>
      </c>
      <c r="H73" s="9">
        <f t="shared" si="3"/>
        <v>1</v>
      </c>
    </row>
    <row r="74" spans="2:8" ht="15.75" thickBot="1" x14ac:dyDescent="0.3">
      <c r="B74" s="249" t="str">
        <f>D_M03!B24</f>
        <v>Heating – heat pump</v>
      </c>
      <c r="C74" s="107"/>
      <c r="D74" s="107"/>
      <c r="E74" s="110"/>
      <c r="F74" s="106" t="str">
        <f>IF(E74="Complies","Pass",IF(E74="Not part of software","Software Doesn't Check","Fail"))</f>
        <v>Fail</v>
      </c>
      <c r="H74" s="9">
        <f t="shared" si="3"/>
        <v>1</v>
      </c>
    </row>
    <row r="75" spans="2:8" ht="15.75" thickBot="1" x14ac:dyDescent="0.3">
      <c r="B75" s="249" t="str">
        <f>D_M03!B25</f>
        <v>Cooling – heat pump</v>
      </c>
      <c r="C75" s="107"/>
      <c r="D75" s="107"/>
      <c r="E75" s="113"/>
      <c r="F75" s="106" t="str">
        <f>IF(E75="Complies","Pass",IF(E75="Not part of software","Software Doesn't Check","Fail"))</f>
        <v>Fail</v>
      </c>
      <c r="H75" s="9">
        <f t="shared" si="3"/>
        <v>1</v>
      </c>
    </row>
    <row r="76" spans="2:8" ht="15.75" thickBot="1" x14ac:dyDescent="0.3">
      <c r="B76" s="249" t="str">
        <f>D_M03!B26</f>
        <v>Ducts – supply in attic</v>
      </c>
      <c r="C76" s="107"/>
      <c r="D76" s="107"/>
      <c r="E76" s="113"/>
      <c r="F76" s="106" t="str">
        <f>IF(E76="R-Value too low","Pass",IF(E76="Not part of software","Software Doesn't Check","Fail"))</f>
        <v>Fail</v>
      </c>
      <c r="H76" s="9">
        <f t="shared" si="3"/>
        <v>1</v>
      </c>
    </row>
    <row r="77" spans="2:8" ht="15.75" thickBot="1" x14ac:dyDescent="0.3">
      <c r="B77" s="249" t="str">
        <f>D_M03!B27</f>
        <v>Ducts – Return in Conditioned Space</v>
      </c>
      <c r="C77" s="107"/>
      <c r="D77" s="107"/>
      <c r="E77" s="113"/>
      <c r="F77" s="106" t="str">
        <f t="shared" ref="F77:F85" si="4">IF(E77="Complies","Pass",IF(E77="Not part of software","Software Doesn't Check","Fail"))</f>
        <v>Fail</v>
      </c>
      <c r="H77" s="9">
        <f t="shared" si="3"/>
        <v>1</v>
      </c>
    </row>
    <row r="78" spans="2:8" thickBot="1" x14ac:dyDescent="0.35">
      <c r="B78" s="249" t="str">
        <f>D_M03!B28</f>
        <v>Duct Tightness</v>
      </c>
      <c r="C78" s="107"/>
      <c r="D78" s="107"/>
      <c r="E78" s="113"/>
      <c r="F78" s="106" t="str">
        <f t="shared" si="4"/>
        <v>Fail</v>
      </c>
      <c r="H78" s="9">
        <f t="shared" si="3"/>
        <v>1</v>
      </c>
    </row>
    <row r="79" spans="2:8" ht="15.75" thickBot="1" x14ac:dyDescent="0.3">
      <c r="B79" s="249" t="str">
        <f>D_M03!B29</f>
        <v>Air Handler – in Conditioned Space</v>
      </c>
      <c r="C79" s="107"/>
      <c r="D79" s="107"/>
      <c r="E79" s="113"/>
      <c r="F79" s="106" t="str">
        <f t="shared" si="4"/>
        <v>Fail</v>
      </c>
      <c r="H79" s="9">
        <f t="shared" si="3"/>
        <v>1</v>
      </c>
    </row>
    <row r="80" spans="2:8" thickBot="1" x14ac:dyDescent="0.35">
      <c r="B80" s="249" t="str">
        <f>D_M03!B30</f>
        <v>Mechanical Ventilation</v>
      </c>
      <c r="C80" s="107"/>
      <c r="D80" s="107"/>
      <c r="E80" s="104"/>
      <c r="F80" s="106" t="str">
        <f t="shared" si="4"/>
        <v>Fail</v>
      </c>
      <c r="H80" s="9">
        <f t="shared" si="3"/>
        <v>1</v>
      </c>
    </row>
    <row r="81" spans="1:8" thickBot="1" x14ac:dyDescent="0.35">
      <c r="B81" s="249" t="str">
        <f>D_M03!B31</f>
        <v>Hot Water System - electric</v>
      </c>
      <c r="C81" s="107"/>
      <c r="D81" s="107"/>
      <c r="E81" s="113"/>
      <c r="F81" s="106" t="str">
        <f t="shared" si="4"/>
        <v>Fail</v>
      </c>
      <c r="H81" s="9">
        <f t="shared" si="3"/>
        <v>1</v>
      </c>
    </row>
    <row r="82" spans="1:8" thickBot="1" x14ac:dyDescent="0.35">
      <c r="B82" s="249" t="str">
        <f>D_M03!B32</f>
        <v>All Hot Water Lines</v>
      </c>
      <c r="C82" s="107"/>
      <c r="D82" s="107"/>
      <c r="E82" s="113"/>
      <c r="F82" s="106" t="str">
        <f t="shared" si="4"/>
        <v>Fail</v>
      </c>
      <c r="H82" s="9">
        <f t="shared" si="3"/>
        <v>1</v>
      </c>
    </row>
    <row r="83" spans="1:8" thickBot="1" x14ac:dyDescent="0.35">
      <c r="B83" s="249" t="str">
        <f>D_M03!B33</f>
        <v>Hot Water Circulation -none</v>
      </c>
      <c r="C83" s="107"/>
      <c r="D83" s="107"/>
      <c r="E83" s="113"/>
      <c r="F83" s="106" t="str">
        <f t="shared" si="4"/>
        <v>Fail</v>
      </c>
      <c r="H83" s="9">
        <f t="shared" si="3"/>
        <v>1</v>
      </c>
    </row>
    <row r="84" spans="1:8" thickBot="1" x14ac:dyDescent="0.35">
      <c r="B84" s="249" t="str">
        <f>D_M03!B34</f>
        <v>Lighting</v>
      </c>
      <c r="C84" s="107"/>
      <c r="D84" s="107"/>
      <c r="E84" s="113"/>
      <c r="F84" s="106" t="str">
        <f t="shared" si="4"/>
        <v>Fail</v>
      </c>
      <c r="H84" s="9">
        <f t="shared" si="3"/>
        <v>1</v>
      </c>
    </row>
    <row r="85" spans="1:8" thickBot="1" x14ac:dyDescent="0.35">
      <c r="B85" s="249" t="str">
        <f>D_M03!B35</f>
        <v>Pool and Spa - none</v>
      </c>
      <c r="C85" s="107"/>
      <c r="D85" s="107"/>
      <c r="E85" s="113"/>
      <c r="F85" s="106" t="str">
        <f t="shared" si="4"/>
        <v>Fail</v>
      </c>
      <c r="H85" s="9">
        <f t="shared" si="3"/>
        <v>1</v>
      </c>
    </row>
    <row r="86" spans="1:8" thickBot="1" x14ac:dyDescent="0.35">
      <c r="B86" s="249" t="str">
        <f>D_M03!B38</f>
        <v>Area Weighted Fenestration U-Factor Value</v>
      </c>
      <c r="C86" s="107"/>
      <c r="D86" s="107"/>
      <c r="E86" s="105"/>
      <c r="F86" s="106" t="str">
        <f>IF(E86&gt;UA_M03!O27,IF(E86&lt;=UA_M03!O28,"Pass","Fail"),"Fail")</f>
        <v>Fail</v>
      </c>
      <c r="H86" s="9">
        <f t="shared" si="3"/>
        <v>1</v>
      </c>
    </row>
    <row r="87" spans="1:8" thickBot="1" x14ac:dyDescent="0.35">
      <c r="B87" s="250" t="str">
        <f>D_M03!B39</f>
        <v>Area Weighted Fenestration SHGC Value</v>
      </c>
      <c r="C87" s="107"/>
      <c r="D87" s="107"/>
      <c r="E87" s="104"/>
      <c r="F87" s="106" t="str">
        <f>IF(E87&gt;UA_M03!S27,IF(E87&lt;=UA_M03!S28,"Pass","Fail"),"Fail")</f>
        <v>Fail</v>
      </c>
      <c r="H87" s="9">
        <f t="shared" si="3"/>
        <v>1</v>
      </c>
    </row>
    <row r="88" spans="1:8" thickBot="1" x14ac:dyDescent="0.35">
      <c r="B88" s="250" t="str">
        <f>D_M03!B40</f>
        <v>Total Thermal Envelope UA Value</v>
      </c>
      <c r="C88" s="107"/>
      <c r="D88" s="107"/>
      <c r="E88" s="111" t="s">
        <v>63</v>
      </c>
      <c r="F88" s="106" t="s">
        <v>63</v>
      </c>
      <c r="H88" s="9">
        <f t="shared" si="3"/>
        <v>0</v>
      </c>
    </row>
    <row r="89" spans="1:8" thickBot="1" x14ac:dyDescent="0.35">
      <c r="B89" s="250" t="str">
        <f>D_M03!B41</f>
        <v>Area Weighted Fenestration U-Factor Result</v>
      </c>
      <c r="C89" s="107"/>
      <c r="D89" s="111"/>
      <c r="E89" s="104"/>
      <c r="F89" s="106" t="str">
        <f>IF(E89="Average U too high","Pass","Fail")</f>
        <v>Fail</v>
      </c>
      <c r="H89" s="9">
        <f t="shared" si="3"/>
        <v>1</v>
      </c>
    </row>
    <row r="90" spans="1:8" thickBot="1" x14ac:dyDescent="0.35">
      <c r="B90" s="250" t="str">
        <f>D_M03!B42</f>
        <v>Area Weighted Fenestration SHGC Result</v>
      </c>
      <c r="C90" s="107"/>
      <c r="D90" s="111"/>
      <c r="E90" s="104"/>
      <c r="F90" s="106" t="str">
        <f>IF(E90="Complies","Pass","Fail")</f>
        <v>Fail</v>
      </c>
      <c r="H90" s="9">
        <f t="shared" si="3"/>
        <v>1</v>
      </c>
    </row>
    <row r="91" spans="1:8" ht="15" customHeight="1" thickBot="1" x14ac:dyDescent="0.35">
      <c r="B91" s="250" t="str">
        <f>D_M03!B43</f>
        <v>Baseline Thermal Envelope UA Value</v>
      </c>
      <c r="C91" s="107"/>
      <c r="D91" s="111"/>
      <c r="E91" s="111" t="s">
        <v>63</v>
      </c>
      <c r="F91" s="106" t="s">
        <v>63</v>
      </c>
      <c r="H91" s="9">
        <f t="shared" si="3"/>
        <v>0</v>
      </c>
    </row>
    <row r="92" spans="1:8" thickBot="1" x14ac:dyDescent="0.35">
      <c r="B92" s="250" t="str">
        <f>D_M03!B44</f>
        <v>Total Thermal Envelope UA Result</v>
      </c>
      <c r="C92" s="107"/>
      <c r="D92" s="111"/>
      <c r="E92" s="111" t="s">
        <v>63</v>
      </c>
      <c r="F92" s="106" t="s">
        <v>63</v>
      </c>
      <c r="H92" s="9">
        <f t="shared" si="3"/>
        <v>0</v>
      </c>
    </row>
    <row r="93" spans="1:8" thickBot="1" x14ac:dyDescent="0.35">
      <c r="B93" s="250" t="str">
        <f>D_M03!B45</f>
        <v>House Complies?</v>
      </c>
      <c r="C93" s="107"/>
      <c r="D93" s="111"/>
      <c r="E93" s="104"/>
      <c r="F93" s="106" t="str">
        <f>IF(E93="No","Pass","Fail")</f>
        <v>Fail</v>
      </c>
      <c r="H93" s="9">
        <f t="shared" si="3"/>
        <v>1</v>
      </c>
    </row>
    <row r="94" spans="1:8" ht="21" customHeight="1" x14ac:dyDescent="0.5">
      <c r="B94" s="19"/>
      <c r="E94" s="24" t="s">
        <v>85</v>
      </c>
      <c r="F94" s="16" t="str">
        <f>IF(H94&gt;0,"FAIL","PASS")</f>
        <v>FAIL</v>
      </c>
      <c r="H94">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103"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D_M03!B4</f>
        <v>House Pr-M03</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D_M03!B8</f>
        <v>Slab-on-grade Floor</v>
      </c>
      <c r="C105" s="107"/>
      <c r="D105" s="107"/>
      <c r="E105" s="111" t="s">
        <v>63</v>
      </c>
      <c r="F105" s="106" t="s">
        <v>63</v>
      </c>
      <c r="H105" s="9">
        <f t="shared" ref="H105:H140" si="5">IF(OR(F105="Not applicable",F105="Software Doesn't Check",F105="Pass"),0,1)</f>
        <v>0</v>
      </c>
    </row>
    <row r="106" spans="1:8" ht="15.75" thickBot="1" x14ac:dyDescent="0.3">
      <c r="B106" s="249" t="str">
        <f>D_M03!B9</f>
        <v>Roof – gable type- 5 in 12 slope No overhangs</v>
      </c>
      <c r="C106" s="107"/>
      <c r="D106" s="107"/>
      <c r="E106" s="111" t="s">
        <v>63</v>
      </c>
      <c r="F106" s="106" t="s">
        <v>63</v>
      </c>
      <c r="H106" s="9">
        <f t="shared" si="5"/>
        <v>0</v>
      </c>
    </row>
    <row r="107" spans="1:8" ht="15.75" thickBot="1" x14ac:dyDescent="0.3">
      <c r="B107" s="249" t="str">
        <f>D_M03!B10</f>
        <v>Ceiling1 –flat under attic</v>
      </c>
      <c r="C107" s="104"/>
      <c r="D107" s="104"/>
      <c r="E107" s="111" t="s">
        <v>63</v>
      </c>
      <c r="F107" s="106" t="s">
        <v>63</v>
      </c>
      <c r="H107" s="9">
        <f t="shared" si="5"/>
        <v>0</v>
      </c>
    </row>
    <row r="108" spans="1:8" thickBot="1" x14ac:dyDescent="0.35">
      <c r="B108" s="249" t="str">
        <f>D_M03!B11</f>
        <v xml:space="preserve">        Skylight</v>
      </c>
      <c r="C108" s="111"/>
      <c r="D108" s="219">
        <f>D_M03!E11</f>
        <v>0.75</v>
      </c>
      <c r="E108" s="104"/>
      <c r="F108" s="106" t="str">
        <f>IF(E108="Complies","Pass","Fail")</f>
        <v>Fail</v>
      </c>
      <c r="H108" s="9">
        <f t="shared" si="5"/>
        <v>1</v>
      </c>
    </row>
    <row r="109" spans="1:8" ht="15.75" thickBot="1" x14ac:dyDescent="0.3">
      <c r="B109" s="249" t="str">
        <f>D_M03!B12</f>
        <v>Wall 1 –faces North, insulated core CBS2</v>
      </c>
      <c r="C109" s="104"/>
      <c r="D109" s="104"/>
      <c r="E109" s="111" t="s">
        <v>63</v>
      </c>
      <c r="F109" s="106" t="s">
        <v>63</v>
      </c>
      <c r="H109" s="9">
        <f t="shared" si="5"/>
        <v>0</v>
      </c>
    </row>
    <row r="110" spans="1:8" thickBot="1" x14ac:dyDescent="0.35">
      <c r="B110" s="249" t="str">
        <f>D_M03!B13</f>
        <v xml:space="preserve">        Door 1 - </v>
      </c>
      <c r="C110" s="111"/>
      <c r="D110" s="219">
        <f>D_M03!E13</f>
        <v>0.65</v>
      </c>
      <c r="E110" s="111" t="s">
        <v>63</v>
      </c>
      <c r="F110" s="106" t="s">
        <v>63</v>
      </c>
      <c r="H110" s="9">
        <f t="shared" si="5"/>
        <v>0</v>
      </c>
    </row>
    <row r="111" spans="1:8" ht="15.75" thickBot="1" x14ac:dyDescent="0.3">
      <c r="B111" s="249" t="str">
        <f>D_M03!B14</f>
        <v xml:space="preserve">        Window 1 – Vinyl Frame Low-e Double</v>
      </c>
      <c r="C111" s="111"/>
      <c r="D111" s="219">
        <f>D_M03!E14</f>
        <v>0.65</v>
      </c>
      <c r="E111" s="111" t="s">
        <v>63</v>
      </c>
      <c r="F111" s="106" t="s">
        <v>63</v>
      </c>
      <c r="H111" s="9">
        <f t="shared" si="5"/>
        <v>0</v>
      </c>
    </row>
    <row r="112" spans="1:8" ht="15.75" thickBot="1" x14ac:dyDescent="0.3">
      <c r="B112" s="249" t="str">
        <f>D_M03!B15</f>
        <v>Wall 2 –faces East, insulated core CBS</v>
      </c>
      <c r="C112" s="104"/>
      <c r="D112" s="104"/>
      <c r="E112" s="111" t="s">
        <v>63</v>
      </c>
      <c r="F112" s="106" t="s">
        <v>63</v>
      </c>
      <c r="H112" s="9">
        <f t="shared" si="5"/>
        <v>0</v>
      </c>
    </row>
    <row r="113" spans="2:8" ht="15.75" thickBot="1" x14ac:dyDescent="0.3">
      <c r="B113" s="249" t="str">
        <f>D_M03!B16</f>
        <v xml:space="preserve">        Window 2 – Vinyl Frame Low-e Double</v>
      </c>
      <c r="C113" s="111"/>
      <c r="D113" s="219">
        <f>D_M03!E16</f>
        <v>0.65</v>
      </c>
      <c r="E113" s="111" t="s">
        <v>63</v>
      </c>
      <c r="F113" s="106" t="s">
        <v>63</v>
      </c>
      <c r="H113" s="9">
        <f t="shared" si="5"/>
        <v>0</v>
      </c>
    </row>
    <row r="114" spans="2:8" ht="15.75" thickBot="1" x14ac:dyDescent="0.3">
      <c r="B114" s="249" t="str">
        <f>D_M03!B17</f>
        <v>Wall 3 –faces South,  insulated core CBS</v>
      </c>
      <c r="C114" s="104"/>
      <c r="D114" s="104"/>
      <c r="E114" s="111" t="s">
        <v>63</v>
      </c>
      <c r="F114" s="106" t="s">
        <v>63</v>
      </c>
      <c r="H114" s="9">
        <f t="shared" si="5"/>
        <v>0</v>
      </c>
    </row>
    <row r="115" spans="2:8" ht="15.75" thickBot="1" x14ac:dyDescent="0.3">
      <c r="B115" s="249" t="str">
        <f>D_M03!B18</f>
        <v xml:space="preserve">        Window 3 – Vinyl Frame Low-e Double</v>
      </c>
      <c r="C115" s="111"/>
      <c r="D115" s="219">
        <f>D_M03!E18</f>
        <v>0.65</v>
      </c>
      <c r="E115" s="111" t="s">
        <v>63</v>
      </c>
      <c r="F115" s="106" t="s">
        <v>63</v>
      </c>
      <c r="H115" s="9">
        <f t="shared" si="5"/>
        <v>0</v>
      </c>
    </row>
    <row r="116" spans="2:8" ht="15.75" thickBot="1" x14ac:dyDescent="0.3">
      <c r="B116" s="249" t="str">
        <f>D_M03!B19</f>
        <v>Wall 4 –faces South, Wood3 2x4 Stud</v>
      </c>
      <c r="C116" s="104"/>
      <c r="D116" s="104"/>
      <c r="E116" s="111" t="s">
        <v>63</v>
      </c>
      <c r="F116" s="106" t="str">
        <f>IF(E116="Complies","Pass","Fail")</f>
        <v>Fail</v>
      </c>
      <c r="H116" s="9">
        <f t="shared" si="5"/>
        <v>1</v>
      </c>
    </row>
    <row r="117" spans="2:8" ht="15.75" thickBot="1" x14ac:dyDescent="0.3">
      <c r="B117" s="249" t="str">
        <f>D_M03!B20</f>
        <v xml:space="preserve">        Window 4 – Vinyl Frame  Low-e Double</v>
      </c>
      <c r="C117" s="111"/>
      <c r="D117" s="219">
        <f>D_M03!E20</f>
        <v>0.65</v>
      </c>
      <c r="E117" s="111" t="s">
        <v>63</v>
      </c>
      <c r="F117" s="106" t="s">
        <v>63</v>
      </c>
      <c r="H117" s="9">
        <f t="shared" si="5"/>
        <v>0</v>
      </c>
    </row>
    <row r="118" spans="2:8" ht="15.75" thickBot="1" x14ac:dyDescent="0.3">
      <c r="B118" s="249" t="str">
        <f>D_M03!B21</f>
        <v>Wall 5 –faces West,  insulated core CBS</v>
      </c>
      <c r="C118" s="104"/>
      <c r="D118" s="104"/>
      <c r="E118" s="111" t="s">
        <v>63</v>
      </c>
      <c r="F118" s="106" t="s">
        <v>63</v>
      </c>
      <c r="H118" s="9">
        <f t="shared" si="5"/>
        <v>0</v>
      </c>
    </row>
    <row r="119" spans="2:8" ht="15.75" thickBot="1" x14ac:dyDescent="0.3">
      <c r="B119" s="249" t="str">
        <f>D_M03!B22</f>
        <v xml:space="preserve">        Window 5 – Vinyl Frame Low-e Double</v>
      </c>
      <c r="C119" s="107"/>
      <c r="D119" s="218">
        <f>D_M03!E22</f>
        <v>0.65</v>
      </c>
      <c r="E119" s="111" t="s">
        <v>63</v>
      </c>
      <c r="F119" s="106" t="s">
        <v>63</v>
      </c>
      <c r="H119" s="9">
        <f t="shared" si="5"/>
        <v>0</v>
      </c>
    </row>
    <row r="120" spans="2:8" thickBot="1" x14ac:dyDescent="0.35">
      <c r="B120" s="249" t="str">
        <f>D_M03!B23</f>
        <v>Infiltration</v>
      </c>
      <c r="C120" s="107"/>
      <c r="D120" s="107"/>
      <c r="E120" s="113"/>
      <c r="F120" s="106" t="str">
        <f>IF(E120="Complies","Pass",IF(E120="Not part of software","Software Doesn't Check","Fail"))</f>
        <v>Fail</v>
      </c>
      <c r="H120" s="9">
        <f t="shared" si="5"/>
        <v>1</v>
      </c>
    </row>
    <row r="121" spans="2:8" ht="15.75" thickBot="1" x14ac:dyDescent="0.3">
      <c r="B121" s="249" t="str">
        <f>D_M03!B24</f>
        <v>Heating – heat pump</v>
      </c>
      <c r="C121" s="107"/>
      <c r="D121" s="107"/>
      <c r="E121" s="110"/>
      <c r="F121" s="106" t="str">
        <f>IF(E121="Complies","Pass",IF(E121="Not part of software","Software Doesn't Check","Fail"))</f>
        <v>Fail</v>
      </c>
      <c r="H121" s="9">
        <f t="shared" si="5"/>
        <v>1</v>
      </c>
    </row>
    <row r="122" spans="2:8" ht="15.75" thickBot="1" x14ac:dyDescent="0.3">
      <c r="B122" s="249" t="str">
        <f>D_M03!B25</f>
        <v>Cooling – heat pump</v>
      </c>
      <c r="C122" s="107"/>
      <c r="D122" s="107"/>
      <c r="E122" s="113"/>
      <c r="F122" s="106" t="str">
        <f>IF(E122="Complies","Pass",IF(E122="Not part of software","Software Doesn't Check","Fail"))</f>
        <v>Fail</v>
      </c>
      <c r="H122" s="9">
        <f t="shared" si="5"/>
        <v>1</v>
      </c>
    </row>
    <row r="123" spans="2:8" ht="15.75" thickBot="1" x14ac:dyDescent="0.3">
      <c r="B123" s="249" t="str">
        <f>D_M03!B26</f>
        <v>Ducts – supply in attic</v>
      </c>
      <c r="C123" s="107"/>
      <c r="D123" s="107"/>
      <c r="E123" s="113"/>
      <c r="F123" s="106" t="str">
        <f>IF(E123="R-Value too low","Pass",IF(E123="Not part of software","Software Doesn't Check","Fail"))</f>
        <v>Fail</v>
      </c>
      <c r="H123" s="9">
        <f t="shared" si="5"/>
        <v>1</v>
      </c>
    </row>
    <row r="124" spans="2:8" ht="15.75" thickBot="1" x14ac:dyDescent="0.3">
      <c r="B124" s="249" t="str">
        <f>D_M03!B27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D_M03!B28</f>
        <v>Duct Tightness</v>
      </c>
      <c r="C125" s="107"/>
      <c r="D125" s="107"/>
      <c r="E125" s="113"/>
      <c r="F125" s="106" t="str">
        <f t="shared" si="6"/>
        <v>Fail</v>
      </c>
      <c r="H125" s="9">
        <f t="shared" si="5"/>
        <v>1</v>
      </c>
    </row>
    <row r="126" spans="2:8" ht="15.75" thickBot="1" x14ac:dyDescent="0.3">
      <c r="B126" s="249" t="str">
        <f>D_M03!B29</f>
        <v>Air Handler – in Conditioned Space</v>
      </c>
      <c r="C126" s="107"/>
      <c r="D126" s="107"/>
      <c r="E126" s="113"/>
      <c r="F126" s="106" t="str">
        <f t="shared" si="6"/>
        <v>Fail</v>
      </c>
      <c r="H126" s="9">
        <f t="shared" si="5"/>
        <v>1</v>
      </c>
    </row>
    <row r="127" spans="2:8" thickBot="1" x14ac:dyDescent="0.35">
      <c r="B127" s="249" t="str">
        <f>D_M03!B30</f>
        <v>Mechanical Ventilation</v>
      </c>
      <c r="C127" s="107"/>
      <c r="D127" s="107"/>
      <c r="E127" s="104"/>
      <c r="F127" s="106" t="str">
        <f t="shared" si="6"/>
        <v>Fail</v>
      </c>
      <c r="H127" s="9">
        <f t="shared" si="5"/>
        <v>1</v>
      </c>
    </row>
    <row r="128" spans="2:8" thickBot="1" x14ac:dyDescent="0.35">
      <c r="B128" s="249" t="str">
        <f>D_M03!B31</f>
        <v>Hot Water System - electric</v>
      </c>
      <c r="C128" s="107"/>
      <c r="D128" s="107"/>
      <c r="E128" s="113"/>
      <c r="F128" s="106" t="str">
        <f t="shared" si="6"/>
        <v>Fail</v>
      </c>
      <c r="H128" s="9">
        <f t="shared" si="5"/>
        <v>1</v>
      </c>
    </row>
    <row r="129" spans="1:8" thickBot="1" x14ac:dyDescent="0.35">
      <c r="B129" s="249" t="str">
        <f>D_M03!B32</f>
        <v>All Hot Water Lines</v>
      </c>
      <c r="C129" s="107"/>
      <c r="D129" s="107"/>
      <c r="E129" s="113"/>
      <c r="F129" s="106" t="str">
        <f t="shared" si="6"/>
        <v>Fail</v>
      </c>
      <c r="H129" s="9">
        <f t="shared" si="5"/>
        <v>1</v>
      </c>
    </row>
    <row r="130" spans="1:8" thickBot="1" x14ac:dyDescent="0.35">
      <c r="B130" s="249" t="str">
        <f>D_M03!B33</f>
        <v>Hot Water Circulation -none</v>
      </c>
      <c r="C130" s="107"/>
      <c r="D130" s="107"/>
      <c r="E130" s="113"/>
      <c r="F130" s="106" t="str">
        <f t="shared" si="6"/>
        <v>Fail</v>
      </c>
      <c r="H130" s="9">
        <f t="shared" si="5"/>
        <v>1</v>
      </c>
    </row>
    <row r="131" spans="1:8" thickBot="1" x14ac:dyDescent="0.35">
      <c r="B131" s="249" t="str">
        <f>D_M03!B34</f>
        <v>Lighting</v>
      </c>
      <c r="C131" s="107"/>
      <c r="D131" s="107"/>
      <c r="E131" s="113"/>
      <c r="F131" s="106" t="str">
        <f t="shared" si="6"/>
        <v>Fail</v>
      </c>
      <c r="H131" s="9">
        <f t="shared" si="5"/>
        <v>1</v>
      </c>
    </row>
    <row r="132" spans="1:8" thickBot="1" x14ac:dyDescent="0.35">
      <c r="B132" s="249" t="str">
        <f>D_M03!B35</f>
        <v>Pool and Spa - none</v>
      </c>
      <c r="C132" s="107"/>
      <c r="D132" s="107"/>
      <c r="E132" s="113"/>
      <c r="F132" s="106" t="str">
        <f t="shared" si="6"/>
        <v>Fail</v>
      </c>
      <c r="H132" s="9">
        <f t="shared" si="5"/>
        <v>1</v>
      </c>
    </row>
    <row r="133" spans="1:8" ht="19.5" customHeight="1" thickBot="1" x14ac:dyDescent="0.35">
      <c r="B133" s="250" t="str">
        <f>D_M03!B38</f>
        <v>Area Weighted Fenestration U-Factor Value</v>
      </c>
      <c r="C133" s="107"/>
      <c r="D133" s="107"/>
      <c r="E133" s="111"/>
      <c r="F133" s="106" t="s">
        <v>63</v>
      </c>
      <c r="H133" s="9">
        <f t="shared" si="5"/>
        <v>0</v>
      </c>
    </row>
    <row r="134" spans="1:8" thickBot="1" x14ac:dyDescent="0.35">
      <c r="B134" s="250" t="str">
        <f>D_M03!B39</f>
        <v>Area Weighted Fenestration SHGC Value</v>
      </c>
      <c r="C134" s="107"/>
      <c r="D134" s="107"/>
      <c r="E134" s="104"/>
      <c r="F134" s="106" t="str">
        <f>IF(E134&gt;UA_M03!S27,IF(E134&lt;=UA_M03!S28,"Pass","Fail"),"Fail")</f>
        <v>Fail</v>
      </c>
      <c r="H134" s="9">
        <f t="shared" si="5"/>
        <v>1</v>
      </c>
    </row>
    <row r="135" spans="1:8" thickBot="1" x14ac:dyDescent="0.35">
      <c r="B135" s="250" t="str">
        <f>D_M03!B40</f>
        <v>Total Thermal Envelope UA Value</v>
      </c>
      <c r="C135" s="107"/>
      <c r="D135" s="107"/>
      <c r="E135" s="104"/>
      <c r="F135" s="106" t="str">
        <f>IF(E135&gt;=UA_M03!H27,IF(E135&lt;=UA_M03!H28,"Pass","Fail"),"Fail")</f>
        <v>Fail</v>
      </c>
      <c r="H135" s="9">
        <f t="shared" si="5"/>
        <v>1</v>
      </c>
    </row>
    <row r="136" spans="1:8" thickBot="1" x14ac:dyDescent="0.35">
      <c r="B136" s="250" t="str">
        <f>D_M03!B41</f>
        <v>Area Weighted Fenestration U-Factor Result</v>
      </c>
      <c r="C136" s="107"/>
      <c r="D136" s="107"/>
      <c r="E136" s="111"/>
      <c r="F136" s="106" t="s">
        <v>63</v>
      </c>
      <c r="H136" s="9">
        <f t="shared" si="5"/>
        <v>0</v>
      </c>
    </row>
    <row r="137" spans="1:8" thickBot="1" x14ac:dyDescent="0.35">
      <c r="B137" s="250" t="str">
        <f>D_M03!B42</f>
        <v>Area Weighted Fenestration SHGC Result</v>
      </c>
      <c r="C137" s="107"/>
      <c r="D137" s="107"/>
      <c r="E137" s="104"/>
      <c r="F137" s="106" t="str">
        <f>IF(E137="Complies","Pass","Fail")</f>
        <v>Fail</v>
      </c>
      <c r="H137" s="9">
        <f t="shared" si="5"/>
        <v>1</v>
      </c>
    </row>
    <row r="138" spans="1:8" ht="18" customHeight="1" thickBot="1" x14ac:dyDescent="0.35">
      <c r="B138" s="250" t="str">
        <f>D_M03!B43</f>
        <v>Baseline Thermal Envelope UA Value</v>
      </c>
      <c r="C138" s="107"/>
      <c r="D138" s="107"/>
      <c r="E138" s="104"/>
      <c r="F138" s="106" t="str">
        <f>IF(E138&gt;=UA_M03!J27,IF(E138&lt;=UA_M03!J28,"Pass","Fail"),"Fail")</f>
        <v>Fail</v>
      </c>
      <c r="H138" s="9">
        <f t="shared" si="5"/>
        <v>1</v>
      </c>
    </row>
    <row r="139" spans="1:8" thickBot="1" x14ac:dyDescent="0.35">
      <c r="B139" s="250" t="str">
        <f>D_M03!B44</f>
        <v>Total Thermal Envelope UA Result</v>
      </c>
      <c r="C139" s="107"/>
      <c r="D139" s="107"/>
      <c r="E139" s="104"/>
      <c r="F139" s="106" t="str">
        <f>IF(E139="Complies","Pass","Fail")</f>
        <v>Fail</v>
      </c>
      <c r="H139" s="9">
        <f t="shared" si="5"/>
        <v>1</v>
      </c>
    </row>
    <row r="140" spans="1:8" thickBot="1" x14ac:dyDescent="0.35">
      <c r="B140" s="250" t="str">
        <f>D_M03!B45</f>
        <v>House Complies?</v>
      </c>
      <c r="C140" s="107"/>
      <c r="D140" s="107"/>
      <c r="E140" s="104"/>
      <c r="F140" s="106" t="str">
        <f>IF(E140="No","Pass","Fail")</f>
        <v>Fail</v>
      </c>
      <c r="H140" s="9">
        <f t="shared" si="5"/>
        <v>1</v>
      </c>
    </row>
    <row r="141" spans="1:8" ht="21.6" customHeight="1" x14ac:dyDescent="0.5">
      <c r="E141" s="15" t="s">
        <v>85</v>
      </c>
      <c r="F141" s="16" t="str">
        <f>IF(H141&gt;0,"FAIL","PASS")</f>
        <v>FAIL</v>
      </c>
      <c r="H141">
        <f xml:space="preserve"> SUM(H105:H140)</f>
        <v>21</v>
      </c>
    </row>
    <row r="142" spans="1:8" ht="8.4499999999999993" customHeight="1" x14ac:dyDescent="0.3">
      <c r="A142" s="14"/>
      <c r="B142" s="14"/>
      <c r="C142" s="14"/>
      <c r="D142" s="14"/>
      <c r="E142" s="14"/>
      <c r="F142" s="14"/>
      <c r="G142" s="14"/>
    </row>
  </sheetData>
  <sheetProtection password="BDDF" sheet="1" objects="1" scenarios="1"/>
  <mergeCells count="3">
    <mergeCell ref="D3:E3"/>
    <mergeCell ref="D99:E99"/>
    <mergeCell ref="D52:E52"/>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7" orientation="portrait" r:id="rId1"/>
  <rowBreaks count="2" manualBreakCount="2">
    <brk id="48" max="5" man="1"/>
    <brk id="95"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4"/>
  <sheetViews>
    <sheetView zoomScaleNormal="100" zoomScaleSheetLayoutView="28" workbookViewId="0">
      <selection activeCell="K18" sqref="K18"/>
    </sheetView>
  </sheetViews>
  <sheetFormatPr defaultColWidth="9.140625" defaultRowHeight="15" x14ac:dyDescent="0.25"/>
  <cols>
    <col min="1" max="1" width="4.5703125" style="33" customWidth="1"/>
    <col min="2" max="2" width="8.28515625" style="33" customWidth="1"/>
    <col min="3" max="3" width="49.85546875" style="33" customWidth="1"/>
    <col min="4" max="5" width="12.7109375" style="33" customWidth="1"/>
    <col min="6" max="6" width="13.28515625" style="33" customWidth="1"/>
    <col min="7" max="7" width="11.5703125" style="33" customWidth="1"/>
    <col min="8" max="8" width="11.28515625" style="33" customWidth="1"/>
    <col min="9" max="10" width="11.140625" style="33" customWidth="1"/>
    <col min="11" max="12" width="12" style="33" customWidth="1"/>
    <col min="13" max="13" width="10.5703125" style="33" customWidth="1"/>
    <col min="14" max="14" width="12" style="33" customWidth="1"/>
    <col min="15" max="15" width="10.140625" style="33" customWidth="1"/>
    <col min="16" max="20" width="12" style="33" customWidth="1"/>
    <col min="21" max="16384" width="9.140625" style="33"/>
  </cols>
  <sheetData>
    <row r="2" spans="2:20" ht="14.45" x14ac:dyDescent="0.3">
      <c r="B2" s="453" t="str">
        <f>D_M03!B2</f>
        <v xml:space="preserve">Prescriptive Test: House M03 (Pr-M03) Characteristics – Location: Miami, Florida. </v>
      </c>
      <c r="C2" s="453"/>
      <c r="D2" s="453"/>
      <c r="E2" s="453"/>
      <c r="F2" s="454"/>
    </row>
    <row r="3" spans="2:20" ht="14.45" x14ac:dyDescent="0.3">
      <c r="B3" s="453" t="str">
        <f>D_M03!B3</f>
        <v xml:space="preserve">Single Family Detached Home with No Attached Garage, Single Story, Three bedroom. </v>
      </c>
      <c r="C3" s="453"/>
      <c r="D3" s="453"/>
      <c r="E3" s="453"/>
      <c r="F3" s="454"/>
    </row>
    <row r="4" spans="2:20" ht="14.45" x14ac:dyDescent="0.3">
      <c r="E4" s="34"/>
    </row>
    <row r="5" spans="2:20" ht="18.75" customHeight="1" x14ac:dyDescent="0.3">
      <c r="B5" s="32" t="s">
        <v>278</v>
      </c>
      <c r="C5" s="32"/>
      <c r="D5" s="32"/>
      <c r="E5" s="32"/>
      <c r="F5" s="32"/>
      <c r="G5" s="32"/>
      <c r="H5" s="32"/>
      <c r="I5" s="32"/>
      <c r="J5" s="32"/>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8">
        <v>1</v>
      </c>
      <c r="C8" s="225" t="str">
        <f>D_M03!B8</f>
        <v>Slab-on-grade Floor</v>
      </c>
      <c r="D8" s="39" t="s">
        <v>30</v>
      </c>
      <c r="E8" s="40"/>
      <c r="F8" s="41"/>
      <c r="G8" s="42"/>
      <c r="H8" s="41"/>
      <c r="I8" s="43"/>
      <c r="J8" s="43"/>
      <c r="K8" s="39"/>
      <c r="L8" s="41"/>
      <c r="M8" s="40"/>
      <c r="N8" s="41"/>
      <c r="O8" s="44"/>
      <c r="P8" s="41"/>
      <c r="Q8" s="44"/>
      <c r="R8" s="41"/>
      <c r="S8" s="44"/>
      <c r="T8" s="41"/>
    </row>
    <row r="9" spans="2:20" ht="15" customHeight="1" x14ac:dyDescent="0.3">
      <c r="B9" s="45">
        <v>2</v>
      </c>
      <c r="C9" s="226" t="str">
        <f>D_M03!B9</f>
        <v>Roof – gable type- 5 in 12 slope No overhangs</v>
      </c>
      <c r="D9" s="47" t="s">
        <v>33</v>
      </c>
      <c r="E9" s="48"/>
      <c r="F9" s="49"/>
      <c r="G9" s="47"/>
      <c r="H9" s="49"/>
      <c r="I9" s="48"/>
      <c r="J9" s="48"/>
      <c r="K9" s="47"/>
      <c r="L9" s="49"/>
      <c r="M9" s="48"/>
      <c r="N9" s="49"/>
      <c r="O9" s="45"/>
      <c r="P9" s="49"/>
      <c r="Q9" s="45"/>
      <c r="R9" s="49"/>
      <c r="S9" s="45"/>
      <c r="T9" s="49"/>
    </row>
    <row r="10" spans="2:20" ht="15" customHeight="1" x14ac:dyDescent="0.3">
      <c r="B10" s="45">
        <v>3</v>
      </c>
      <c r="C10" s="226" t="str">
        <f>D_M03!B10</f>
        <v>Ceiling1 –flat under attic</v>
      </c>
      <c r="D10" s="47" t="s">
        <v>34</v>
      </c>
      <c r="E10" s="135">
        <f>D_M03!G10</f>
        <v>2000</v>
      </c>
      <c r="F10" s="207">
        <f>E10-E11</f>
        <v>1990</v>
      </c>
      <c r="G10" s="208">
        <f>D53</f>
        <v>4.0086964730314936E-2</v>
      </c>
      <c r="H10" s="204">
        <f t="shared" ref="H10:H22" si="0">$G10*$F10</f>
        <v>79.773059813326725</v>
      </c>
      <c r="I10" s="138">
        <f>D35</f>
        <v>3.5000000000000003E-2</v>
      </c>
      <c r="J10" s="125">
        <f t="shared" ref="J10:J22" si="1">$I10*$F10</f>
        <v>69.650000000000006</v>
      </c>
      <c r="K10" s="51"/>
      <c r="L10" s="50"/>
      <c r="M10" s="48"/>
      <c r="N10" s="49"/>
      <c r="O10" s="45"/>
      <c r="P10" s="49"/>
      <c r="Q10" s="45"/>
      <c r="R10" s="49"/>
      <c r="S10" s="45"/>
      <c r="T10" s="49"/>
    </row>
    <row r="11" spans="2:20" ht="15" customHeight="1" x14ac:dyDescent="0.3">
      <c r="B11" s="45">
        <v>4</v>
      </c>
      <c r="C11" s="226" t="str">
        <f>D_M03!B11</f>
        <v xml:space="preserve">        Skylight</v>
      </c>
      <c r="D11" s="47" t="s">
        <v>35</v>
      </c>
      <c r="E11" s="135">
        <f>D_M03!G11</f>
        <v>10</v>
      </c>
      <c r="F11" s="207">
        <f>E11</f>
        <v>10</v>
      </c>
      <c r="G11" s="208">
        <f>D_M03!E11</f>
        <v>0.75</v>
      </c>
      <c r="H11" s="204">
        <f t="shared" si="0"/>
        <v>7.5</v>
      </c>
      <c r="I11" s="138">
        <f>D38</f>
        <v>0.75</v>
      </c>
      <c r="J11" s="125">
        <f t="shared" si="1"/>
        <v>7.5</v>
      </c>
      <c r="K11" s="203">
        <f>IF(E11&lt;=Selections!$C$33,0,E11)</f>
        <v>0</v>
      </c>
      <c r="L11" s="204">
        <f>E11</f>
        <v>10</v>
      </c>
      <c r="M11" s="138">
        <f>$G11</f>
        <v>0.75</v>
      </c>
      <c r="N11" s="204">
        <f>K11*M11</f>
        <v>0</v>
      </c>
      <c r="O11" s="136">
        <f>$G11</f>
        <v>0.75</v>
      </c>
      <c r="P11" s="204">
        <f>O11*L11</f>
        <v>7.5</v>
      </c>
      <c r="Q11" s="136">
        <f>D_M03!F11</f>
        <v>0.25</v>
      </c>
      <c r="R11" s="204">
        <f>K11*Q11</f>
        <v>0</v>
      </c>
      <c r="S11" s="136">
        <f>$Q11</f>
        <v>0.25</v>
      </c>
      <c r="T11" s="204">
        <f>S11*L11</f>
        <v>2.5</v>
      </c>
    </row>
    <row r="12" spans="2:20" ht="15" customHeight="1" x14ac:dyDescent="0.3">
      <c r="B12" s="45">
        <v>5</v>
      </c>
      <c r="C12" s="226" t="str">
        <f>D_M03!B12</f>
        <v>Wall 1 –faces North, insulated core CBS2</v>
      </c>
      <c r="D12" s="47" t="s">
        <v>36</v>
      </c>
      <c r="E12" s="135">
        <f>D_M03!G12</f>
        <v>500</v>
      </c>
      <c r="F12" s="207">
        <f>E12-E13-E14</f>
        <v>401</v>
      </c>
      <c r="G12" s="208">
        <f>D69</f>
        <v>0.1079507785698037</v>
      </c>
      <c r="H12" s="204">
        <f t="shared" si="0"/>
        <v>43.288262206491282</v>
      </c>
      <c r="I12" s="138">
        <f>D36</f>
        <v>0.17</v>
      </c>
      <c r="J12" s="125">
        <f t="shared" si="1"/>
        <v>68.17</v>
      </c>
      <c r="K12" s="203"/>
      <c r="L12" s="204"/>
      <c r="M12" s="135"/>
      <c r="N12" s="205"/>
      <c r="O12" s="101"/>
      <c r="P12" s="205"/>
      <c r="Q12" s="101"/>
      <c r="R12" s="205"/>
      <c r="S12" s="136"/>
      <c r="T12" s="205"/>
    </row>
    <row r="13" spans="2:20" ht="15" customHeight="1" x14ac:dyDescent="0.3">
      <c r="B13" s="45">
        <v>6</v>
      </c>
      <c r="C13" s="226" t="str">
        <f>D_M03!B13</f>
        <v xml:space="preserve">        Door 1 - </v>
      </c>
      <c r="D13" s="47" t="s">
        <v>38</v>
      </c>
      <c r="E13" s="135">
        <f>D_M03!G13</f>
        <v>24</v>
      </c>
      <c r="F13" s="207">
        <f>E13</f>
        <v>24</v>
      </c>
      <c r="G13" s="208">
        <f>D_M03!E13</f>
        <v>0.65</v>
      </c>
      <c r="H13" s="204">
        <f t="shared" si="0"/>
        <v>15.600000000000001</v>
      </c>
      <c r="I13" s="138">
        <f>D39</f>
        <v>0.5</v>
      </c>
      <c r="J13" s="125">
        <f t="shared" si="1"/>
        <v>12</v>
      </c>
      <c r="K13" s="203">
        <f>IF(E13&lt;=Selections!$C$32,0,E13)</f>
        <v>0</v>
      </c>
      <c r="L13" s="204">
        <f>E13</f>
        <v>24</v>
      </c>
      <c r="M13" s="135">
        <v>0</v>
      </c>
      <c r="N13" s="204">
        <f>K13*M13</f>
        <v>0</v>
      </c>
      <c r="O13" s="136">
        <f>$G13</f>
        <v>0.65</v>
      </c>
      <c r="P13" s="204">
        <f>O13*L13</f>
        <v>15.600000000000001</v>
      </c>
      <c r="Q13" s="101">
        <f>D_M03!F13</f>
        <v>0</v>
      </c>
      <c r="R13" s="204">
        <f>K13*Q13</f>
        <v>0</v>
      </c>
      <c r="S13" s="140">
        <f t="shared" ref="S13:S22" si="2">$Q13</f>
        <v>0</v>
      </c>
      <c r="T13" s="204">
        <f>S13*L13</f>
        <v>0</v>
      </c>
    </row>
    <row r="14" spans="2:20" ht="15" customHeight="1" x14ac:dyDescent="0.3">
      <c r="B14" s="45">
        <v>7</v>
      </c>
      <c r="C14" s="226" t="str">
        <f>D_M03!B14</f>
        <v xml:space="preserve">        Window 1 – Vinyl Frame Low-e Double</v>
      </c>
      <c r="D14" s="47" t="s">
        <v>37</v>
      </c>
      <c r="E14" s="135">
        <f>D_M03!G14</f>
        <v>75</v>
      </c>
      <c r="F14" s="207">
        <f>E14</f>
        <v>75</v>
      </c>
      <c r="G14" s="208">
        <f>D_M03!E14</f>
        <v>0.65</v>
      </c>
      <c r="H14" s="204">
        <f t="shared" si="0"/>
        <v>48.75</v>
      </c>
      <c r="I14" s="138">
        <f>D40</f>
        <v>0.5</v>
      </c>
      <c r="J14" s="125">
        <f t="shared" si="1"/>
        <v>37.5</v>
      </c>
      <c r="K14" s="203">
        <f>IF(E14&lt;=Selections!$C$33,0,E14)</f>
        <v>75</v>
      </c>
      <c r="L14" s="204">
        <f>E14</f>
        <v>75</v>
      </c>
      <c r="M14" s="138">
        <f>$G14</f>
        <v>0.65</v>
      </c>
      <c r="N14" s="204">
        <f>K14*M14</f>
        <v>48.75</v>
      </c>
      <c r="O14" s="136">
        <f>$G14</f>
        <v>0.65</v>
      </c>
      <c r="P14" s="204">
        <f>O14*L14</f>
        <v>48.75</v>
      </c>
      <c r="Q14" s="136">
        <f>D_M03!F14</f>
        <v>0.25</v>
      </c>
      <c r="R14" s="204">
        <f>K14*Q14</f>
        <v>18.75</v>
      </c>
      <c r="S14" s="136">
        <f t="shared" si="2"/>
        <v>0.25</v>
      </c>
      <c r="T14" s="204">
        <f>S14*L14</f>
        <v>18.75</v>
      </c>
    </row>
    <row r="15" spans="2:20" ht="15" customHeight="1" x14ac:dyDescent="0.3">
      <c r="B15" s="45">
        <v>8</v>
      </c>
      <c r="C15" s="226" t="str">
        <f>D_M03!B15</f>
        <v>Wall 2 –faces East, insulated core CBS</v>
      </c>
      <c r="D15" s="52" t="s">
        <v>36</v>
      </c>
      <c r="E15" s="135">
        <f>D_M03!G15</f>
        <v>400</v>
      </c>
      <c r="F15" s="207">
        <f>E15-E16</f>
        <v>325</v>
      </c>
      <c r="G15" s="208">
        <f>D69</f>
        <v>0.1079507785698037</v>
      </c>
      <c r="H15" s="204">
        <f t="shared" si="0"/>
        <v>35.0840030351862</v>
      </c>
      <c r="I15" s="138">
        <f>D36</f>
        <v>0.17</v>
      </c>
      <c r="J15" s="125">
        <f t="shared" si="1"/>
        <v>55.250000000000007</v>
      </c>
      <c r="K15" s="203"/>
      <c r="L15" s="204"/>
      <c r="M15" s="135"/>
      <c r="N15" s="205"/>
      <c r="O15" s="101"/>
      <c r="P15" s="205"/>
      <c r="Q15" s="101"/>
      <c r="R15" s="205"/>
      <c r="S15" s="136"/>
      <c r="T15" s="205"/>
    </row>
    <row r="16" spans="2:20" ht="15" customHeight="1" x14ac:dyDescent="0.3">
      <c r="B16" s="45">
        <v>9</v>
      </c>
      <c r="C16" s="226" t="str">
        <f>D_M03!B16</f>
        <v xml:space="preserve">        Window 2 – Vinyl Frame Low-e Double</v>
      </c>
      <c r="D16" s="47" t="s">
        <v>37</v>
      </c>
      <c r="E16" s="135">
        <f>D_M03!G16</f>
        <v>75</v>
      </c>
      <c r="F16" s="207">
        <f>E16</f>
        <v>75</v>
      </c>
      <c r="G16" s="208">
        <f>D_M03!E16</f>
        <v>0.65</v>
      </c>
      <c r="H16" s="204">
        <f t="shared" si="0"/>
        <v>48.75</v>
      </c>
      <c r="I16" s="138">
        <f>D40</f>
        <v>0.5</v>
      </c>
      <c r="J16" s="125">
        <f t="shared" si="1"/>
        <v>37.5</v>
      </c>
      <c r="K16" s="203">
        <f>IF(E16&lt;=Selections!$C$33,0,E16)</f>
        <v>75</v>
      </c>
      <c r="L16" s="204">
        <f>E16</f>
        <v>75</v>
      </c>
      <c r="M16" s="138">
        <f>$G16</f>
        <v>0.65</v>
      </c>
      <c r="N16" s="204">
        <f>K16*M16</f>
        <v>48.75</v>
      </c>
      <c r="O16" s="136">
        <f>$G16</f>
        <v>0.65</v>
      </c>
      <c r="P16" s="204">
        <f>O16*L16</f>
        <v>48.75</v>
      </c>
      <c r="Q16" s="136">
        <f>D_M03!F16</f>
        <v>0.25</v>
      </c>
      <c r="R16" s="204">
        <f>K16*Q16</f>
        <v>18.75</v>
      </c>
      <c r="S16" s="136">
        <f t="shared" si="2"/>
        <v>0.25</v>
      </c>
      <c r="T16" s="204">
        <f>S16*L16</f>
        <v>18.75</v>
      </c>
    </row>
    <row r="17" spans="2:20" ht="15" customHeight="1" x14ac:dyDescent="0.3">
      <c r="B17" s="45">
        <v>10</v>
      </c>
      <c r="C17" s="226" t="str">
        <f>D_M03!B17</f>
        <v>Wall 3 –faces South,  insulated core CBS</v>
      </c>
      <c r="D17" s="47" t="s">
        <v>36</v>
      </c>
      <c r="E17" s="135">
        <f>D_M03!G17</f>
        <v>400</v>
      </c>
      <c r="F17" s="207">
        <f>E17-E18</f>
        <v>385</v>
      </c>
      <c r="G17" s="208">
        <f>D69</f>
        <v>0.1079507785698037</v>
      </c>
      <c r="H17" s="204">
        <f t="shared" si="0"/>
        <v>41.561049749374426</v>
      </c>
      <c r="I17" s="138">
        <f>D36</f>
        <v>0.17</v>
      </c>
      <c r="J17" s="125">
        <f t="shared" si="1"/>
        <v>65.45</v>
      </c>
      <c r="K17" s="203"/>
      <c r="L17" s="204"/>
      <c r="M17" s="135"/>
      <c r="N17" s="205"/>
      <c r="O17" s="101"/>
      <c r="P17" s="205"/>
      <c r="Q17" s="101"/>
      <c r="R17" s="205"/>
      <c r="S17" s="136"/>
      <c r="T17" s="205"/>
    </row>
    <row r="18" spans="2:20" ht="15" customHeight="1" x14ac:dyDescent="0.3">
      <c r="B18" s="45">
        <v>11</v>
      </c>
      <c r="C18" s="226" t="str">
        <f>D_M03!B18</f>
        <v xml:space="preserve">        Window 3 – Vinyl Frame Low-e Double</v>
      </c>
      <c r="D18" s="47" t="s">
        <v>37</v>
      </c>
      <c r="E18" s="135">
        <f>D_M03!G18</f>
        <v>15</v>
      </c>
      <c r="F18" s="207">
        <f>E18</f>
        <v>15</v>
      </c>
      <c r="G18" s="208">
        <f>D_M03!E18</f>
        <v>0.65</v>
      </c>
      <c r="H18" s="204">
        <f t="shared" si="0"/>
        <v>9.75</v>
      </c>
      <c r="I18" s="138">
        <f>D40</f>
        <v>0.5</v>
      </c>
      <c r="J18" s="125">
        <f t="shared" si="1"/>
        <v>7.5</v>
      </c>
      <c r="K18" s="203">
        <f>E18</f>
        <v>15</v>
      </c>
      <c r="L18" s="204">
        <f>E18</f>
        <v>15</v>
      </c>
      <c r="M18" s="138">
        <f>$G18</f>
        <v>0.65</v>
      </c>
      <c r="N18" s="204">
        <f>K18*M18</f>
        <v>9.75</v>
      </c>
      <c r="O18" s="136">
        <f>$G18</f>
        <v>0.65</v>
      </c>
      <c r="P18" s="204">
        <f>O18*L18</f>
        <v>9.75</v>
      </c>
      <c r="Q18" s="136">
        <f>D_M03!F18</f>
        <v>0.25</v>
      </c>
      <c r="R18" s="204">
        <f>K18*Q18</f>
        <v>3.75</v>
      </c>
      <c r="S18" s="136">
        <f t="shared" si="2"/>
        <v>0.25</v>
      </c>
      <c r="T18" s="204">
        <f>S18*L18</f>
        <v>3.75</v>
      </c>
    </row>
    <row r="19" spans="2:20" ht="15" customHeight="1" x14ac:dyDescent="0.3">
      <c r="B19" s="45">
        <v>12</v>
      </c>
      <c r="C19" s="226" t="str">
        <f>D_M03!B19</f>
        <v>Wall 4 –faces South, Wood3 2x4 Stud</v>
      </c>
      <c r="D19" s="47" t="s">
        <v>36</v>
      </c>
      <c r="E19" s="135">
        <f>D_M03!G19</f>
        <v>100</v>
      </c>
      <c r="F19" s="207">
        <f>E19-E20</f>
        <v>40</v>
      </c>
      <c r="G19" s="208">
        <f>D84</f>
        <v>8.6865673938545357E-2</v>
      </c>
      <c r="H19" s="204">
        <f t="shared" si="0"/>
        <v>3.4746269575418145</v>
      </c>
      <c r="I19" s="138">
        <f>D37</f>
        <v>8.2000000000000003E-2</v>
      </c>
      <c r="J19" s="125">
        <f t="shared" si="1"/>
        <v>3.2800000000000002</v>
      </c>
      <c r="K19" s="203"/>
      <c r="L19" s="204"/>
      <c r="M19" s="135"/>
      <c r="N19" s="205"/>
      <c r="O19" s="101"/>
      <c r="P19" s="205"/>
      <c r="Q19" s="101"/>
      <c r="R19" s="205"/>
      <c r="S19" s="136"/>
      <c r="T19" s="205"/>
    </row>
    <row r="20" spans="2:20" ht="15" customHeight="1" x14ac:dyDescent="0.3">
      <c r="B20" s="45">
        <v>13</v>
      </c>
      <c r="C20" s="226" t="str">
        <f>D_M03!B20</f>
        <v xml:space="preserve">        Window 4 – Vinyl Frame  Low-e Double</v>
      </c>
      <c r="D20" s="47" t="s">
        <v>37</v>
      </c>
      <c r="E20" s="135">
        <f>D_M03!G20</f>
        <v>60</v>
      </c>
      <c r="F20" s="207">
        <f>E20</f>
        <v>60</v>
      </c>
      <c r="G20" s="208">
        <f>D_M03!E20</f>
        <v>0.65</v>
      </c>
      <c r="H20" s="204">
        <f t="shared" si="0"/>
        <v>39</v>
      </c>
      <c r="I20" s="138">
        <f>D40</f>
        <v>0.5</v>
      </c>
      <c r="J20" s="125">
        <f t="shared" si="1"/>
        <v>30</v>
      </c>
      <c r="K20" s="203">
        <f>IF(E20&lt;=Selections!$C$33,0,E20)</f>
        <v>60</v>
      </c>
      <c r="L20" s="204">
        <f>E20</f>
        <v>60</v>
      </c>
      <c r="M20" s="138">
        <f>$G20</f>
        <v>0.65</v>
      </c>
      <c r="N20" s="204">
        <f>K20*M20</f>
        <v>39</v>
      </c>
      <c r="O20" s="136">
        <f>$G20</f>
        <v>0.65</v>
      </c>
      <c r="P20" s="204">
        <f>O20*L20</f>
        <v>39</v>
      </c>
      <c r="Q20" s="136">
        <f>D_M03!F20</f>
        <v>0.25</v>
      </c>
      <c r="R20" s="204">
        <f>K20*Q20</f>
        <v>15</v>
      </c>
      <c r="S20" s="136">
        <f t="shared" si="2"/>
        <v>0.25</v>
      </c>
      <c r="T20" s="204">
        <f>S20*L20</f>
        <v>15</v>
      </c>
    </row>
    <row r="21" spans="2:20" ht="15" customHeight="1" x14ac:dyDescent="0.3">
      <c r="B21" s="45">
        <v>14</v>
      </c>
      <c r="C21" s="226" t="str">
        <f>D_M03!B21</f>
        <v>Wall 5 –faces West,  insulated core CBS</v>
      </c>
      <c r="D21" s="47" t="s">
        <v>36</v>
      </c>
      <c r="E21" s="135">
        <f>D_M03!G21</f>
        <v>400</v>
      </c>
      <c r="F21" s="207">
        <f>E21-E22</f>
        <v>325</v>
      </c>
      <c r="G21" s="208">
        <f>D69</f>
        <v>0.1079507785698037</v>
      </c>
      <c r="H21" s="204">
        <f t="shared" si="0"/>
        <v>35.0840030351862</v>
      </c>
      <c r="I21" s="138">
        <f>D36</f>
        <v>0.17</v>
      </c>
      <c r="J21" s="125">
        <f t="shared" si="1"/>
        <v>55.250000000000007</v>
      </c>
      <c r="K21" s="203"/>
      <c r="L21" s="204"/>
      <c r="M21" s="135"/>
      <c r="N21" s="205"/>
      <c r="O21" s="101"/>
      <c r="P21" s="205"/>
      <c r="Q21" s="101"/>
      <c r="R21" s="205"/>
      <c r="S21" s="136"/>
      <c r="T21" s="205"/>
    </row>
    <row r="22" spans="2:20" ht="15" customHeight="1" x14ac:dyDescent="0.3">
      <c r="B22" s="53">
        <v>15</v>
      </c>
      <c r="C22" s="227" t="str">
        <f>D_M03!B22</f>
        <v xml:space="preserve">        Window 5 – Vinyl Frame Low-e Double</v>
      </c>
      <c r="D22" s="54" t="s">
        <v>37</v>
      </c>
      <c r="E22" s="209">
        <f>D_M03!G22</f>
        <v>75</v>
      </c>
      <c r="F22" s="210">
        <f>E22</f>
        <v>75</v>
      </c>
      <c r="G22" s="211">
        <f>D_M03!E22</f>
        <v>0.65</v>
      </c>
      <c r="H22" s="206">
        <f t="shared" si="0"/>
        <v>48.75</v>
      </c>
      <c r="I22" s="126">
        <f>D40</f>
        <v>0.5</v>
      </c>
      <c r="J22" s="212">
        <f t="shared" si="1"/>
        <v>37.5</v>
      </c>
      <c r="K22" s="203">
        <f>IF(E22&lt;=Selections!$C$33,0,E22)</f>
        <v>75</v>
      </c>
      <c r="L22" s="206">
        <f>E22</f>
        <v>75</v>
      </c>
      <c r="M22" s="138">
        <f>$G22</f>
        <v>0.65</v>
      </c>
      <c r="N22" s="204">
        <f>K22*M22</f>
        <v>48.75</v>
      </c>
      <c r="O22" s="136">
        <f>$G22</f>
        <v>0.65</v>
      </c>
      <c r="P22" s="204">
        <f>O22*L22</f>
        <v>48.75</v>
      </c>
      <c r="Q22" s="136">
        <f>D_M03!F22</f>
        <v>0.25</v>
      </c>
      <c r="R22" s="204">
        <f>K22*Q22</f>
        <v>18.75</v>
      </c>
      <c r="S22" s="136">
        <f t="shared" si="2"/>
        <v>0.25</v>
      </c>
      <c r="T22" s="204">
        <f>S22*L22</f>
        <v>18.75</v>
      </c>
    </row>
    <row r="23" spans="2:20" ht="3.75" customHeight="1" x14ac:dyDescent="0.3">
      <c r="B23" s="35"/>
      <c r="C23" s="55"/>
      <c r="D23" s="56"/>
      <c r="E23" s="37"/>
      <c r="F23" s="57"/>
      <c r="G23" s="56"/>
      <c r="H23" s="57"/>
      <c r="I23" s="37"/>
      <c r="J23" s="37"/>
      <c r="K23" s="56"/>
      <c r="L23" s="57"/>
      <c r="M23" s="58"/>
      <c r="N23" s="59"/>
      <c r="O23" s="55"/>
      <c r="P23" s="59"/>
      <c r="Q23" s="55"/>
      <c r="R23" s="59"/>
      <c r="S23" s="55"/>
      <c r="T23" s="59"/>
    </row>
    <row r="24" spans="2:20" ht="15.6" x14ac:dyDescent="0.3">
      <c r="B24" s="60"/>
      <c r="C24" s="61" t="s">
        <v>134</v>
      </c>
      <c r="D24" s="62"/>
      <c r="E24" s="58"/>
      <c r="F24" s="59"/>
      <c r="G24" s="62"/>
      <c r="H24" s="456">
        <f>SUM(H10:H22)</f>
        <v>456.36500479710668</v>
      </c>
      <c r="I24" s="463"/>
      <c r="J24" s="458">
        <f>SUM(J10:J22)</f>
        <v>486.54999999999995</v>
      </c>
      <c r="K24" s="459">
        <f>SUM(K10:K22)</f>
        <v>300</v>
      </c>
      <c r="L24" s="456">
        <f>SUM(L10:L22)</f>
        <v>334</v>
      </c>
      <c r="M24" s="460">
        <f>N24/K24</f>
        <v>0.65</v>
      </c>
      <c r="N24" s="456">
        <f>SUM(N10:N22)</f>
        <v>195</v>
      </c>
      <c r="O24" s="461">
        <f>P24/L24</f>
        <v>0.65299401197604789</v>
      </c>
      <c r="P24" s="456">
        <f>SUM(P10:P22)</f>
        <v>218.1</v>
      </c>
      <c r="Q24" s="461">
        <f>R24/K24</f>
        <v>0.25</v>
      </c>
      <c r="R24" s="456">
        <f>SUM(R10:R22)</f>
        <v>75</v>
      </c>
      <c r="S24" s="461">
        <f>T24/(L24-L13)</f>
        <v>0.25</v>
      </c>
      <c r="T24" s="456">
        <f>SUM(T10:T22)</f>
        <v>77.5</v>
      </c>
    </row>
    <row r="25" spans="2:20" ht="9.75" customHeight="1" x14ac:dyDescent="0.3">
      <c r="B25" s="63"/>
      <c r="C25" s="64"/>
      <c r="D25" s="65"/>
      <c r="E25" s="65"/>
      <c r="F25" s="65"/>
      <c r="G25" s="65"/>
      <c r="H25" s="66"/>
      <c r="I25" s="67"/>
      <c r="J25" s="66"/>
      <c r="K25" s="66"/>
      <c r="L25" s="66"/>
      <c r="M25" s="68"/>
      <c r="N25" s="66"/>
      <c r="O25" s="68"/>
      <c r="P25" s="66"/>
      <c r="Q25" s="68"/>
      <c r="R25" s="66"/>
      <c r="S25" s="68"/>
      <c r="T25" s="66"/>
    </row>
    <row r="26" spans="2:20" ht="45" customHeight="1" x14ac:dyDescent="0.3">
      <c r="B26" s="63"/>
      <c r="C26" s="214" t="str">
        <f>Selections!B25</f>
        <v>UA allowed deviation range in %</v>
      </c>
      <c r="D26" s="223">
        <f>Selections!C25</f>
        <v>0.02</v>
      </c>
      <c r="E26" s="70"/>
      <c r="G26" s="34"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34" t="s">
        <v>138</v>
      </c>
      <c r="H27" s="213">
        <f>H24-(H24*$D$26)</f>
        <v>447.23770470116455</v>
      </c>
      <c r="J27" s="213">
        <f>J24-(J24*$D$26)</f>
        <v>476.81899999999996</v>
      </c>
      <c r="K27" s="214"/>
      <c r="L27" s="214"/>
      <c r="M27" s="215">
        <f>M$24-$D$27</f>
        <v>0.64500000000000002</v>
      </c>
      <c r="N27" s="216">
        <f>N$24-$D$26*N$24</f>
        <v>191.1</v>
      </c>
      <c r="O27" s="217">
        <f>O$24-$D$27</f>
        <v>0.64799401197604789</v>
      </c>
      <c r="P27" s="216">
        <f>P$24-$D$26*P$24</f>
        <v>213.738</v>
      </c>
      <c r="Q27" s="217">
        <f>Q$24-$D$28</f>
        <v>0.245</v>
      </c>
      <c r="R27" s="216">
        <f>R$24-$D$26*R$24</f>
        <v>73.5</v>
      </c>
      <c r="S27" s="217">
        <f>S$24-$D$28</f>
        <v>0.245</v>
      </c>
      <c r="T27" s="216">
        <f>T$24-$D$26*T$24</f>
        <v>75.95</v>
      </c>
    </row>
    <row r="28" spans="2:20" ht="14.45" x14ac:dyDescent="0.3">
      <c r="C28" s="214" t="str">
        <f>Selections!B27</f>
        <v>SHGC allowed deviation range absolute</v>
      </c>
      <c r="D28" s="224">
        <f>Selections!C27</f>
        <v>5.0000000000000001E-3</v>
      </c>
      <c r="G28" s="34" t="s">
        <v>140</v>
      </c>
      <c r="H28" s="213">
        <f>H24*(1+$D$26)</f>
        <v>465.49230489304881</v>
      </c>
      <c r="J28" s="213">
        <f>J24*(1+$D$26)</f>
        <v>496.28099999999995</v>
      </c>
      <c r="K28" s="214"/>
      <c r="L28" s="214"/>
      <c r="M28" s="215">
        <f>M$24+$D$27</f>
        <v>0.65500000000000003</v>
      </c>
      <c r="N28" s="216">
        <f>N$24+$D$26*N$24</f>
        <v>198.9</v>
      </c>
      <c r="O28" s="217">
        <f>O$24+$D$28</f>
        <v>0.6579940119760479</v>
      </c>
      <c r="P28" s="216">
        <f>P$24+$D$26*P$24</f>
        <v>222.46199999999999</v>
      </c>
      <c r="Q28" s="217">
        <f>Q$24+$D$28</f>
        <v>0.255</v>
      </c>
      <c r="R28" s="216">
        <f>R$24+$D$26*R$24</f>
        <v>76.5</v>
      </c>
      <c r="S28" s="217">
        <f>S$24+$D$28</f>
        <v>0.255</v>
      </c>
      <c r="T28" s="216">
        <f>T$24+$D$26*T$24</f>
        <v>79.05</v>
      </c>
    </row>
    <row r="29" spans="2:20" ht="14.45" x14ac:dyDescent="0.3">
      <c r="D29" s="34"/>
      <c r="G29" s="34"/>
      <c r="I29" s="71"/>
      <c r="J29" s="71"/>
      <c r="M29" s="72"/>
      <c r="N29" s="73"/>
      <c r="O29" s="74"/>
      <c r="P29" s="73"/>
      <c r="Q29" s="74"/>
      <c r="R29" s="73"/>
      <c r="S29" s="74"/>
      <c r="T29" s="73"/>
    </row>
    <row r="30" spans="2:20" ht="13.5" customHeight="1" x14ac:dyDescent="0.3">
      <c r="B30" s="33" t="s">
        <v>242</v>
      </c>
    </row>
    <row r="31" spans="2:20" ht="19.5" customHeight="1" x14ac:dyDescent="0.3">
      <c r="B31" s="241" t="s">
        <v>261</v>
      </c>
      <c r="C31" s="61"/>
      <c r="D31" s="242"/>
      <c r="E31" s="65"/>
      <c r="F31" s="65"/>
      <c r="G31" s="65"/>
      <c r="H31" s="451"/>
      <c r="I31" s="452"/>
      <c r="J31" s="452"/>
      <c r="K31" s="452"/>
      <c r="L31" s="452"/>
      <c r="M31" s="450"/>
      <c r="N31" s="452"/>
      <c r="O31" s="450"/>
      <c r="P31" s="452"/>
      <c r="Q31" s="450"/>
      <c r="R31" s="452"/>
      <c r="S31" s="450"/>
      <c r="T31" s="452"/>
    </row>
    <row r="32" spans="2:20" ht="43.5" customHeight="1" x14ac:dyDescent="0.3">
      <c r="B32" s="75"/>
      <c r="C32" s="76" t="s">
        <v>141</v>
      </c>
      <c r="D32" s="77" t="s">
        <v>234</v>
      </c>
      <c r="F32" s="70"/>
      <c r="G32" s="70"/>
      <c r="H32" s="70"/>
    </row>
    <row r="33" spans="2:8" ht="14.45" x14ac:dyDescent="0.3">
      <c r="B33" s="79">
        <v>1</v>
      </c>
      <c r="C33" s="80" t="s">
        <v>30</v>
      </c>
      <c r="D33" s="94">
        <v>6.4000000000000001E-2</v>
      </c>
    </row>
    <row r="34" spans="2:8" ht="14.45" x14ac:dyDescent="0.3">
      <c r="B34" s="79">
        <v>2</v>
      </c>
      <c r="C34" s="80" t="s">
        <v>33</v>
      </c>
      <c r="D34" s="94"/>
    </row>
    <row r="35" spans="2:8" ht="14.45" x14ac:dyDescent="0.3">
      <c r="B35" s="79">
        <v>3</v>
      </c>
      <c r="C35" s="285" t="s">
        <v>419</v>
      </c>
      <c r="D35" s="94">
        <v>3.5000000000000003E-2</v>
      </c>
    </row>
    <row r="36" spans="2:8" ht="14.45" x14ac:dyDescent="0.3">
      <c r="B36" s="79">
        <v>4</v>
      </c>
      <c r="C36" s="80" t="s">
        <v>143</v>
      </c>
      <c r="D36" s="149">
        <v>0.17</v>
      </c>
    </row>
    <row r="37" spans="2:8" ht="14.45" x14ac:dyDescent="0.3">
      <c r="B37" s="79">
        <v>5</v>
      </c>
      <c r="C37" s="80" t="s">
        <v>144</v>
      </c>
      <c r="D37" s="94">
        <v>8.2000000000000003E-2</v>
      </c>
    </row>
    <row r="38" spans="2:8" ht="14.45" x14ac:dyDescent="0.3">
      <c r="B38" s="79">
        <v>6</v>
      </c>
      <c r="C38" s="80" t="s">
        <v>35</v>
      </c>
      <c r="D38" s="92">
        <v>0.75</v>
      </c>
    </row>
    <row r="39" spans="2:8" ht="14.45" x14ac:dyDescent="0.3">
      <c r="B39" s="79">
        <v>7</v>
      </c>
      <c r="C39" s="80" t="s">
        <v>38</v>
      </c>
      <c r="D39" s="92">
        <v>0.5</v>
      </c>
    </row>
    <row r="40" spans="2:8" ht="14.45" x14ac:dyDescent="0.3">
      <c r="B40" s="84">
        <v>8</v>
      </c>
      <c r="C40" s="85" t="s">
        <v>145</v>
      </c>
      <c r="D40" s="150">
        <v>0.5</v>
      </c>
    </row>
    <row r="41" spans="2:8" ht="13.5" customHeight="1" x14ac:dyDescent="0.3">
      <c r="B41" s="48"/>
    </row>
    <row r="42" spans="2:8" ht="13.5" customHeight="1" x14ac:dyDescent="0.3">
      <c r="B42" s="48"/>
    </row>
    <row r="43" spans="2:8" ht="30.75" customHeight="1" x14ac:dyDescent="0.3">
      <c r="B43" s="33" t="s">
        <v>34</v>
      </c>
      <c r="C43" s="89" t="s">
        <v>241</v>
      </c>
    </row>
    <row r="44" spans="2:8" ht="31.5" customHeight="1" x14ac:dyDescent="0.3">
      <c r="B44" s="35"/>
      <c r="C44" s="90" t="s">
        <v>146</v>
      </c>
      <c r="D44" s="100" t="s">
        <v>147</v>
      </c>
      <c r="E44" s="97" t="s">
        <v>148</v>
      </c>
      <c r="F44" s="55" t="s">
        <v>142</v>
      </c>
      <c r="G44" s="58"/>
      <c r="H44" s="78"/>
    </row>
    <row r="45" spans="2:8" ht="14.45" x14ac:dyDescent="0.3">
      <c r="B45" s="35"/>
      <c r="C45" s="296" t="s">
        <v>395</v>
      </c>
      <c r="D45" s="124">
        <f>1-D_M03!C50</f>
        <v>0.92999999999999994</v>
      </c>
      <c r="E45" s="141">
        <f>D_M03!C50</f>
        <v>7.0000000000000007E-2</v>
      </c>
      <c r="G45" s="70"/>
      <c r="H45" s="83"/>
    </row>
    <row r="46" spans="2:8" ht="15.75" customHeight="1" x14ac:dyDescent="0.3">
      <c r="B46" s="45">
        <v>1</v>
      </c>
      <c r="C46" s="239" t="str">
        <f>D_M03!B53</f>
        <v>Attic Air film</v>
      </c>
      <c r="D46" s="91">
        <f>D_M03!C53</f>
        <v>0.61</v>
      </c>
      <c r="E46" s="142">
        <f>D_M03!C53</f>
        <v>0.61</v>
      </c>
      <c r="F46" s="46"/>
      <c r="G46" s="70"/>
      <c r="H46" s="83"/>
    </row>
    <row r="47" spans="2:8" ht="15.75" customHeight="1" x14ac:dyDescent="0.3">
      <c r="B47" s="45">
        <v>2</v>
      </c>
      <c r="C47" s="239" t="str">
        <f>D_M03!B54</f>
        <v>Batt Insulation R30</v>
      </c>
      <c r="D47" s="120">
        <f>D_M03!C54</f>
        <v>30</v>
      </c>
      <c r="E47" s="143">
        <v>0</v>
      </c>
      <c r="F47" s="82"/>
      <c r="G47" s="70"/>
      <c r="H47" s="83"/>
    </row>
    <row r="48" spans="2:8" ht="15.75" customHeight="1" x14ac:dyDescent="0.3">
      <c r="B48" s="45">
        <v>3</v>
      </c>
      <c r="C48" s="239" t="str">
        <f>D_M03!B55</f>
        <v>Wood Stud 2 x 4: Nominal</v>
      </c>
      <c r="D48" s="120">
        <v>0</v>
      </c>
      <c r="E48" s="142">
        <f>D_M03!C55</f>
        <v>4.38</v>
      </c>
      <c r="F48" s="82"/>
      <c r="G48" s="70"/>
      <c r="H48" s="83"/>
    </row>
    <row r="49" spans="2:8" ht="15.75" customHeight="1" x14ac:dyDescent="0.3">
      <c r="B49" s="45">
        <v>4</v>
      </c>
      <c r="C49" s="239" t="str">
        <f>D_M03!B56</f>
        <v xml:space="preserve">0.5 Inch Drywall </v>
      </c>
      <c r="D49" s="91">
        <f>D_M03!C56</f>
        <v>0.45</v>
      </c>
      <c r="E49" s="142">
        <f>D_M03!C56</f>
        <v>0.45</v>
      </c>
      <c r="F49" s="82"/>
      <c r="G49" s="70"/>
      <c r="H49" s="83"/>
    </row>
    <row r="50" spans="2:8" ht="15.75" customHeight="1" x14ac:dyDescent="0.3">
      <c r="B50" s="45">
        <v>5</v>
      </c>
      <c r="C50" s="239" t="str">
        <f>D_M03!B57</f>
        <v>Indoor Air film</v>
      </c>
      <c r="D50" s="91">
        <f>D_M03!C57</f>
        <v>0.92</v>
      </c>
      <c r="E50" s="142">
        <f>D_M03!C57</f>
        <v>0.92</v>
      </c>
      <c r="F50" s="82"/>
      <c r="G50" s="70"/>
      <c r="H50" s="83"/>
    </row>
    <row r="51" spans="2:8" ht="15.75" customHeight="1" x14ac:dyDescent="0.3">
      <c r="B51" s="45"/>
      <c r="C51" s="81" t="s">
        <v>158</v>
      </c>
      <c r="D51" s="91">
        <f>SUM(D46:D50)</f>
        <v>31.98</v>
      </c>
      <c r="E51" s="142">
        <f>SUM(E46:E50)</f>
        <v>6.36</v>
      </c>
      <c r="F51" s="82"/>
      <c r="G51" s="70"/>
      <c r="H51" s="83"/>
    </row>
    <row r="52" spans="2:8" ht="15.75" customHeight="1" x14ac:dyDescent="0.3">
      <c r="B52" s="53"/>
      <c r="C52" s="93" t="s">
        <v>159</v>
      </c>
      <c r="D52" s="123">
        <f>1/D51</f>
        <v>3.1269543464665414E-2</v>
      </c>
      <c r="E52" s="144">
        <f>1/E51</f>
        <v>0.15723270440251572</v>
      </c>
      <c r="F52" s="82"/>
      <c r="G52" s="70"/>
      <c r="H52" s="83"/>
    </row>
    <row r="53" spans="2:8" ht="18" customHeight="1" x14ac:dyDescent="0.3">
      <c r="B53" s="45"/>
      <c r="C53" s="36" t="s">
        <v>160</v>
      </c>
      <c r="D53" s="119">
        <f>D52*D45+E52*E45</f>
        <v>4.0086964730314936E-2</v>
      </c>
      <c r="E53" s="83"/>
      <c r="F53" s="82" t="s">
        <v>83</v>
      </c>
      <c r="G53" s="70"/>
      <c r="H53" s="83"/>
    </row>
    <row r="54" spans="2:8" ht="18" customHeight="1" x14ac:dyDescent="0.3">
      <c r="B54" s="53"/>
      <c r="C54" s="93" t="s">
        <v>161</v>
      </c>
      <c r="D54" s="128">
        <f>1/D53</f>
        <v>24.945764956950477</v>
      </c>
      <c r="E54" s="88"/>
      <c r="F54" s="86"/>
      <c r="G54" s="87"/>
      <c r="H54" s="88"/>
    </row>
    <row r="55" spans="2:8" ht="14.45" x14ac:dyDescent="0.3">
      <c r="B55" s="34"/>
      <c r="F55" s="70"/>
      <c r="G55" s="70"/>
      <c r="H55" s="70"/>
    </row>
    <row r="56" spans="2:8" ht="14.45" x14ac:dyDescent="0.3">
      <c r="B56" s="34"/>
      <c r="F56" s="70"/>
      <c r="G56" s="70"/>
      <c r="H56" s="70"/>
    </row>
    <row r="57" spans="2:8" ht="14.45" x14ac:dyDescent="0.3">
      <c r="B57" s="34"/>
      <c r="F57" s="70"/>
      <c r="G57" s="70"/>
      <c r="H57" s="70"/>
    </row>
    <row r="58" spans="2:8" ht="33.75" customHeight="1" x14ac:dyDescent="0.3">
      <c r="B58" s="34" t="s">
        <v>36</v>
      </c>
      <c r="C58" s="89" t="s">
        <v>240</v>
      </c>
      <c r="F58" s="70"/>
      <c r="G58" s="70"/>
      <c r="H58" s="70"/>
    </row>
    <row r="59" spans="2:8" ht="29.25" customHeight="1" x14ac:dyDescent="0.3">
      <c r="B59" s="55"/>
      <c r="C59" s="96" t="s">
        <v>146</v>
      </c>
      <c r="D59" s="97" t="s">
        <v>212</v>
      </c>
      <c r="E59" s="98"/>
      <c r="F59" s="55" t="s">
        <v>142</v>
      </c>
      <c r="G59" s="58"/>
      <c r="H59" s="78"/>
    </row>
    <row r="60" spans="2:8" ht="14.45" x14ac:dyDescent="0.3">
      <c r="B60" s="38">
        <v>1</v>
      </c>
      <c r="C60" s="229" t="str">
        <f>D_M03!B64</f>
        <v>Outside Air Film (7.5 mph wind, Summer)</v>
      </c>
      <c r="D60" s="118">
        <f>D_M03!C64</f>
        <v>0.25</v>
      </c>
      <c r="E60" s="145"/>
      <c r="G60" s="70"/>
      <c r="H60" s="83"/>
    </row>
    <row r="61" spans="2:8" ht="14.45" x14ac:dyDescent="0.3">
      <c r="B61" s="45">
        <v>2</v>
      </c>
      <c r="C61" s="239" t="str">
        <f>D_M03!B65</f>
        <v>Stucco (0.8 Inch thick, conductivity=9.7 Btu-in/h-ft2-°F)</v>
      </c>
      <c r="D61" s="119">
        <f>D_M03!C65</f>
        <v>8.2474226804123724E-2</v>
      </c>
      <c r="E61" s="83"/>
      <c r="F61" s="82"/>
      <c r="G61" s="70"/>
      <c r="H61" s="83"/>
    </row>
    <row r="62" spans="2:8" ht="14.45" x14ac:dyDescent="0.3">
      <c r="B62" s="45">
        <v>3</v>
      </c>
      <c r="C62" s="239" t="str">
        <f>D_M03!B66</f>
        <v>lath</v>
      </c>
      <c r="D62" s="120">
        <f>D_M03!C66</f>
        <v>0</v>
      </c>
      <c r="E62" s="83"/>
      <c r="F62" s="82"/>
      <c r="G62" s="70"/>
      <c r="H62" s="83"/>
    </row>
    <row r="63" spans="2:8" ht="14.45" x14ac:dyDescent="0.3">
      <c r="B63" s="45">
        <v>4</v>
      </c>
      <c r="C63" s="239" t="str">
        <f>D_M03!B67</f>
        <v>8 Inch Insulated Concrete Block (Normal Density)</v>
      </c>
      <c r="D63" s="91">
        <f>D_M03!C106</f>
        <v>2.5810069008782937</v>
      </c>
      <c r="E63" s="83"/>
      <c r="F63" s="82"/>
      <c r="G63" s="70"/>
      <c r="H63" s="83"/>
    </row>
    <row r="64" spans="2:8" ht="14.45" x14ac:dyDescent="0.3">
      <c r="B64" s="45">
        <v>5</v>
      </c>
      <c r="C64" s="239" t="str">
        <f>D_M03!B68</f>
        <v>0.75 Inch R4 Insulation Board</v>
      </c>
      <c r="D64" s="120">
        <f>D_M03!C68</f>
        <v>4</v>
      </c>
      <c r="E64" s="83"/>
      <c r="F64" s="82"/>
      <c r="G64" s="70"/>
      <c r="H64" s="83"/>
    </row>
    <row r="65" spans="2:8" ht="14.45" x14ac:dyDescent="0.3">
      <c r="B65" s="45">
        <v>6</v>
      </c>
      <c r="C65" s="239" t="str">
        <f>D_M03!B69</f>
        <v>0.75 Inch Air Space with Furring at 16" on center</v>
      </c>
      <c r="D65" s="121">
        <f>D_M03!C69</f>
        <v>1.22</v>
      </c>
      <c r="E65" s="83"/>
      <c r="F65" s="82"/>
      <c r="G65" s="70"/>
      <c r="H65" s="83"/>
    </row>
    <row r="66" spans="2:8" ht="14.45" x14ac:dyDescent="0.3">
      <c r="B66" s="45">
        <v>7</v>
      </c>
      <c r="C66" s="239" t="str">
        <f>D_M03!B70</f>
        <v xml:space="preserve">0.5 Inch Drywall </v>
      </c>
      <c r="D66" s="121">
        <f>D_M03!C70</f>
        <v>0.45</v>
      </c>
      <c r="E66" s="83"/>
      <c r="F66" s="82"/>
      <c r="G66" s="70"/>
      <c r="H66" s="83"/>
    </row>
    <row r="67" spans="2:8" ht="14.45" x14ac:dyDescent="0.3">
      <c r="B67" s="53">
        <v>8</v>
      </c>
      <c r="C67" s="240" t="str">
        <f>D_M03!B71</f>
        <v>Indoor Air Film</v>
      </c>
      <c r="D67" s="122">
        <f>D_M03!C71</f>
        <v>0.68</v>
      </c>
      <c r="E67" s="88"/>
      <c r="F67" s="82"/>
      <c r="G67" s="70"/>
      <c r="H67" s="83"/>
    </row>
    <row r="68" spans="2:8" ht="17.25" customHeight="1" x14ac:dyDescent="0.3">
      <c r="B68" s="45"/>
      <c r="C68" s="81" t="s">
        <v>161</v>
      </c>
      <c r="D68" s="91">
        <f>SUM(D60:D67)</f>
        <v>9.2634811276824163</v>
      </c>
      <c r="E68" s="83"/>
      <c r="F68" s="82" t="s">
        <v>118</v>
      </c>
      <c r="G68" s="70"/>
      <c r="H68" s="83"/>
    </row>
    <row r="69" spans="2:8" ht="20.25" customHeight="1" x14ac:dyDescent="0.3">
      <c r="B69" s="53"/>
      <c r="C69" s="93" t="s">
        <v>160</v>
      </c>
      <c r="D69" s="123">
        <f>1/D68</f>
        <v>0.1079507785698037</v>
      </c>
      <c r="E69" s="88"/>
      <c r="F69" s="86"/>
      <c r="G69" s="87"/>
      <c r="H69" s="88"/>
    </row>
    <row r="70" spans="2:8" ht="18" customHeight="1" x14ac:dyDescent="0.3">
      <c r="F70" s="70"/>
      <c r="G70" s="70"/>
      <c r="H70" s="70"/>
    </row>
    <row r="71" spans="2:8" ht="18" customHeight="1" x14ac:dyDescent="0.3">
      <c r="F71" s="70"/>
      <c r="G71" s="70"/>
      <c r="H71" s="70"/>
    </row>
    <row r="72" spans="2:8" ht="35.25" customHeight="1" x14ac:dyDescent="0.3">
      <c r="B72" s="33" t="s">
        <v>36</v>
      </c>
      <c r="C72" s="89" t="s">
        <v>239</v>
      </c>
      <c r="F72" s="70"/>
      <c r="G72" s="70"/>
      <c r="H72" s="70"/>
    </row>
    <row r="73" spans="2:8" ht="33" customHeight="1" x14ac:dyDescent="0.3">
      <c r="B73" s="55"/>
      <c r="C73" s="96" t="s">
        <v>146</v>
      </c>
      <c r="D73" s="100" t="s">
        <v>147</v>
      </c>
      <c r="E73" s="97" t="s">
        <v>148</v>
      </c>
      <c r="F73" s="55" t="s">
        <v>142</v>
      </c>
      <c r="G73" s="58"/>
      <c r="H73" s="78"/>
    </row>
    <row r="74" spans="2:8" ht="14.45" x14ac:dyDescent="0.3">
      <c r="B74" s="35"/>
      <c r="C74" s="90" t="s">
        <v>150</v>
      </c>
      <c r="D74" s="134">
        <f>1-D_M03!C76</f>
        <v>0.75</v>
      </c>
      <c r="E74" s="124">
        <f>D_M03!C76</f>
        <v>0.25</v>
      </c>
      <c r="G74" s="70"/>
      <c r="H74" s="83"/>
    </row>
    <row r="75" spans="2:8" ht="14.45" x14ac:dyDescent="0.3">
      <c r="B75" s="45">
        <v>1</v>
      </c>
      <c r="C75" s="239" t="str">
        <f>D_M03!B80</f>
        <v>Outside Air Film (7.5 mph wind, Summer)</v>
      </c>
      <c r="D75" s="101">
        <f>D_M03!C80</f>
        <v>0.25</v>
      </c>
      <c r="E75" s="121">
        <f>D_M03!C80</f>
        <v>0.25</v>
      </c>
      <c r="F75" s="82"/>
      <c r="G75" s="70"/>
      <c r="H75" s="83"/>
    </row>
    <row r="76" spans="2:8" ht="14.45" x14ac:dyDescent="0.3">
      <c r="B76" s="45">
        <v>2</v>
      </c>
      <c r="C76" s="239" t="str">
        <f>D_M03!B81</f>
        <v>Stucco (0.8 Inch thick, conductivity=9.7 Btu-in/h-ft2-°F)</v>
      </c>
      <c r="D76" s="119">
        <f>D_M03!C81</f>
        <v>8.2474226804123724E-2</v>
      </c>
      <c r="E76" s="119">
        <f>D_M03!C81</f>
        <v>8.2474226804123724E-2</v>
      </c>
      <c r="F76" s="82"/>
      <c r="G76" s="70"/>
      <c r="H76" s="83"/>
    </row>
    <row r="77" spans="2:8" ht="14.45" x14ac:dyDescent="0.3">
      <c r="B77" s="45">
        <v>3</v>
      </c>
      <c r="C77" s="239" t="str">
        <f>D_M03!B82</f>
        <v>Plywood Exterior 0.5 Inch</v>
      </c>
      <c r="D77" s="137">
        <f>D_M03!C82</f>
        <v>0.79</v>
      </c>
      <c r="E77" s="91">
        <f>D_M03!C82</f>
        <v>0.79</v>
      </c>
      <c r="F77" s="82"/>
      <c r="G77" s="70"/>
      <c r="H77" s="83"/>
    </row>
    <row r="78" spans="2:8" ht="14.45" x14ac:dyDescent="0.3">
      <c r="B78" s="45">
        <v>4</v>
      </c>
      <c r="C78" s="239" t="str">
        <f>D_M03!B83</f>
        <v>Wood Stud 2 x 4: Nominal</v>
      </c>
      <c r="D78" s="137">
        <v>0</v>
      </c>
      <c r="E78" s="91">
        <f>D_M03!C83</f>
        <v>4.38</v>
      </c>
      <c r="F78" s="82"/>
      <c r="G78" s="70"/>
      <c r="H78" s="83"/>
    </row>
    <row r="79" spans="2:8" ht="14.45" x14ac:dyDescent="0.3">
      <c r="B79" s="45">
        <v>5</v>
      </c>
      <c r="C79" s="239" t="str">
        <f>D_M03!B84</f>
        <v>Fiber Glass Batt Insulation R13</v>
      </c>
      <c r="D79" s="137">
        <f>D_M03!C84</f>
        <v>13</v>
      </c>
      <c r="E79" s="120">
        <v>0</v>
      </c>
      <c r="F79" s="82"/>
      <c r="G79" s="70"/>
      <c r="H79" s="83"/>
    </row>
    <row r="80" spans="2:8" ht="14.45" x14ac:dyDescent="0.3">
      <c r="B80" s="45">
        <v>6</v>
      </c>
      <c r="C80" s="239" t="str">
        <f>D_M03!B85</f>
        <v xml:space="preserve">0.5 Inch Drywall </v>
      </c>
      <c r="D80" s="101">
        <f>D_M03!C85</f>
        <v>0.45</v>
      </c>
      <c r="E80" s="121">
        <f>D_M03!C85</f>
        <v>0.45</v>
      </c>
      <c r="F80" s="82"/>
      <c r="G80" s="70"/>
      <c r="H80" s="83"/>
    </row>
    <row r="81" spans="2:8" ht="14.45" x14ac:dyDescent="0.3">
      <c r="B81" s="45">
        <v>7</v>
      </c>
      <c r="C81" s="239" t="str">
        <f>D_M03!B86</f>
        <v>Indoor Air Film</v>
      </c>
      <c r="D81" s="101">
        <f>D_M03!C86</f>
        <v>0.68</v>
      </c>
      <c r="E81" s="121">
        <f>D_M03!C86</f>
        <v>0.68</v>
      </c>
      <c r="F81" s="82"/>
      <c r="G81" s="70"/>
      <c r="H81" s="83"/>
    </row>
    <row r="82" spans="2:8" ht="14.45" x14ac:dyDescent="0.3">
      <c r="B82" s="45"/>
      <c r="C82" s="81" t="s">
        <v>169</v>
      </c>
      <c r="D82" s="137">
        <f>SUM(D75:D81)</f>
        <v>15.252474226804123</v>
      </c>
      <c r="E82" s="91">
        <f>SUM(E75:E81)</f>
        <v>6.6324742268041232</v>
      </c>
      <c r="F82" s="82"/>
      <c r="G82" s="70"/>
      <c r="H82" s="83"/>
    </row>
    <row r="83" spans="2:8" ht="14.45" x14ac:dyDescent="0.3">
      <c r="B83" s="86"/>
      <c r="C83" s="93" t="s">
        <v>170</v>
      </c>
      <c r="D83" s="136">
        <f>1/D82</f>
        <v>6.5563133241860375E-2</v>
      </c>
      <c r="E83" s="119">
        <f>1/E82</f>
        <v>0.15077329602860032</v>
      </c>
      <c r="F83" s="82"/>
      <c r="G83" s="70"/>
      <c r="H83" s="83"/>
    </row>
    <row r="84" spans="2:8" ht="16.5" customHeight="1" x14ac:dyDescent="0.3">
      <c r="B84" s="82"/>
      <c r="C84" s="82" t="s">
        <v>160</v>
      </c>
      <c r="D84" s="102">
        <f>D83*D74+E83*E74</f>
        <v>8.6865673938545357E-2</v>
      </c>
      <c r="E84" s="95"/>
      <c r="F84" s="82" t="s">
        <v>83</v>
      </c>
      <c r="G84" s="70"/>
      <c r="H84" s="83"/>
    </row>
    <row r="85" spans="2:8" ht="16.5" customHeight="1" x14ac:dyDescent="0.3">
      <c r="B85" s="55"/>
      <c r="C85" s="55" t="s">
        <v>161</v>
      </c>
      <c r="D85" s="139">
        <f>1/D84</f>
        <v>11.512027187027496</v>
      </c>
      <c r="E85" s="95"/>
      <c r="F85" s="53"/>
      <c r="G85" s="87"/>
      <c r="H85" s="88"/>
    </row>
    <row r="88" spans="2:8" ht="19.5" customHeight="1" x14ac:dyDescent="0.3"/>
    <row r="104" ht="20.25" customHeight="1" x14ac:dyDescent="0.3"/>
  </sheetData>
  <sheetProtection password="BDDF" sheet="1" objects="1" scenarios="1"/>
  <mergeCells count="13">
    <mergeCell ref="Q6:R6"/>
    <mergeCell ref="S6:T6"/>
    <mergeCell ref="D6:F6"/>
    <mergeCell ref="K5:L5"/>
    <mergeCell ref="M5:N5"/>
    <mergeCell ref="O5:P5"/>
    <mergeCell ref="Q5:R5"/>
    <mergeCell ref="S5:T5"/>
    <mergeCell ref="G6:H6"/>
    <mergeCell ref="I6:J6"/>
    <mergeCell ref="K6:L6"/>
    <mergeCell ref="M6:N6"/>
    <mergeCell ref="O6:P6"/>
  </mergeCells>
  <dataValidations disablePrompts="1" count="1">
    <dataValidation type="list" allowBlank="1" showInputMessage="1" showErrorMessage="1" sqref="F53 F68 F84">
      <formula1>UCalcMethod</formula1>
    </dataValidation>
  </dataValidations>
  <pageMargins left="0.7" right="0.7" top="0.75" bottom="0.75" header="0.3" footer="0.3"/>
  <pageSetup scale="34" fitToHeight="0" orientation="portrait" r:id="rId1"/>
  <rowBreaks count="1" manualBreakCount="1">
    <brk id="5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18"/>
  <sheetViews>
    <sheetView zoomScale="130" zoomScaleNormal="130" workbookViewId="0">
      <selection activeCell="B23" sqref="B23"/>
    </sheetView>
  </sheetViews>
  <sheetFormatPr defaultColWidth="9.140625" defaultRowHeight="12.75" x14ac:dyDescent="0.2"/>
  <cols>
    <col min="1" max="1" width="6.140625" style="162" customWidth="1"/>
    <col min="2" max="2" width="48.7109375" style="162" customWidth="1"/>
    <col min="3" max="3" width="25" style="162" customWidth="1"/>
    <col min="4" max="4" width="34.42578125" style="162" customWidth="1"/>
    <col min="5" max="5" width="13.7109375" style="162" customWidth="1"/>
    <col min="6" max="6" width="14.7109375" style="162" customWidth="1"/>
    <col min="7" max="7" width="11.85546875" style="162" customWidth="1"/>
    <col min="8" max="16384" width="9.140625" style="162"/>
  </cols>
  <sheetData>
    <row r="2" spans="1:7" x14ac:dyDescent="0.2">
      <c r="B2" s="163" t="s">
        <v>256</v>
      </c>
    </row>
    <row r="3" spans="1:7" ht="13.15" x14ac:dyDescent="0.25">
      <c r="B3" s="163" t="s">
        <v>286</v>
      </c>
    </row>
    <row r="4" spans="1:7" ht="14.45" x14ac:dyDescent="0.3">
      <c r="B4" s="4" t="s">
        <v>111</v>
      </c>
      <c r="D4" s="163" t="s">
        <v>285</v>
      </c>
    </row>
    <row r="5" spans="1:7" ht="15" customHeight="1" x14ac:dyDescent="0.25">
      <c r="B5" s="163"/>
    </row>
    <row r="6" spans="1:7" ht="47.25" customHeight="1" x14ac:dyDescent="0.25">
      <c r="B6" s="164" t="s">
        <v>191</v>
      </c>
      <c r="C6" s="165" t="s">
        <v>192</v>
      </c>
      <c r="D6" s="165" t="s">
        <v>193</v>
      </c>
      <c r="E6" s="165" t="s">
        <v>209</v>
      </c>
      <c r="F6" s="165" t="s">
        <v>210</v>
      </c>
      <c r="G6" s="165" t="s">
        <v>218</v>
      </c>
    </row>
    <row r="7" spans="1:7" ht="14.25" customHeight="1" x14ac:dyDescent="0.25">
      <c r="B7" s="151" t="s">
        <v>194</v>
      </c>
      <c r="C7" s="151" t="s">
        <v>245</v>
      </c>
      <c r="D7" s="151" t="s">
        <v>195</v>
      </c>
      <c r="E7" s="97"/>
      <c r="F7" s="97"/>
      <c r="G7" s="97">
        <v>2000</v>
      </c>
    </row>
    <row r="8" spans="1:7" ht="14.25" customHeight="1" x14ac:dyDescent="0.25">
      <c r="A8" s="166"/>
      <c r="B8" s="151" t="s">
        <v>0</v>
      </c>
      <c r="C8" s="151" t="s">
        <v>196</v>
      </c>
      <c r="D8" s="151" t="s">
        <v>197</v>
      </c>
      <c r="E8" s="97"/>
      <c r="F8" s="97"/>
      <c r="G8" s="97"/>
    </row>
    <row r="9" spans="1:7" ht="14.25" customHeight="1" x14ac:dyDescent="0.2">
      <c r="A9" s="166"/>
      <c r="B9" s="151" t="s">
        <v>1</v>
      </c>
      <c r="C9" s="151" t="s">
        <v>246</v>
      </c>
      <c r="D9" s="151" t="s">
        <v>297</v>
      </c>
      <c r="E9" s="97"/>
      <c r="F9" s="97">
        <v>0.75</v>
      </c>
      <c r="G9" s="97"/>
    </row>
    <row r="10" spans="1:7" ht="14.25" customHeight="1" x14ac:dyDescent="0.2">
      <c r="A10" s="166"/>
      <c r="B10" s="151" t="s">
        <v>247</v>
      </c>
      <c r="C10" s="151" t="s">
        <v>245</v>
      </c>
      <c r="D10" s="151" t="s">
        <v>260</v>
      </c>
      <c r="E10" s="152">
        <v>30</v>
      </c>
      <c r="F10" s="97"/>
      <c r="G10" s="152">
        <v>2000</v>
      </c>
    </row>
    <row r="11" spans="1:7" ht="14.25" customHeight="1" x14ac:dyDescent="0.25">
      <c r="A11" s="166"/>
      <c r="B11" s="151" t="s">
        <v>2</v>
      </c>
      <c r="C11" s="151" t="s">
        <v>248</v>
      </c>
      <c r="D11" s="151" t="s">
        <v>299</v>
      </c>
      <c r="E11" s="97">
        <v>0.75</v>
      </c>
      <c r="F11" s="97">
        <v>0.25</v>
      </c>
      <c r="G11" s="97">
        <v>10</v>
      </c>
    </row>
    <row r="12" spans="1:7" ht="14.25" customHeight="1" x14ac:dyDescent="0.2">
      <c r="A12" s="166"/>
      <c r="B12" s="153" t="s">
        <v>421</v>
      </c>
      <c r="C12" s="153" t="s">
        <v>198</v>
      </c>
      <c r="D12" s="153" t="s">
        <v>292</v>
      </c>
      <c r="E12" s="154">
        <v>4</v>
      </c>
      <c r="F12" s="155"/>
      <c r="G12" s="156">
        <f>50*10</f>
        <v>500</v>
      </c>
    </row>
    <row r="13" spans="1:7" ht="14.25" customHeight="1" x14ac:dyDescent="0.25">
      <c r="A13" s="166"/>
      <c r="B13" s="151" t="s">
        <v>3</v>
      </c>
      <c r="C13" s="151" t="s">
        <v>249</v>
      </c>
      <c r="D13" s="151" t="s">
        <v>77</v>
      </c>
      <c r="E13" s="97">
        <v>0.65</v>
      </c>
      <c r="F13" s="152">
        <v>0</v>
      </c>
      <c r="G13" s="97">
        <v>24</v>
      </c>
    </row>
    <row r="14" spans="1:7" ht="14.25" customHeight="1" x14ac:dyDescent="0.2">
      <c r="A14" s="166"/>
      <c r="B14" s="151" t="s">
        <v>4</v>
      </c>
      <c r="C14" s="151" t="s">
        <v>250</v>
      </c>
      <c r="D14" s="151" t="s">
        <v>299</v>
      </c>
      <c r="E14" s="97">
        <v>0.65</v>
      </c>
      <c r="F14" s="97">
        <v>0.25</v>
      </c>
      <c r="G14" s="97">
        <v>75</v>
      </c>
    </row>
    <row r="15" spans="1:7" ht="14.25" customHeight="1" x14ac:dyDescent="0.2">
      <c r="A15" s="166"/>
      <c r="B15" s="153" t="s">
        <v>422</v>
      </c>
      <c r="C15" s="153" t="s">
        <v>199</v>
      </c>
      <c r="D15" s="153" t="s">
        <v>271</v>
      </c>
      <c r="E15" s="157">
        <f>E12</f>
        <v>4</v>
      </c>
      <c r="F15" s="155"/>
      <c r="G15" s="157">
        <f>40*10</f>
        <v>400</v>
      </c>
    </row>
    <row r="16" spans="1:7" ht="14.25" customHeight="1" x14ac:dyDescent="0.2">
      <c r="A16" s="166"/>
      <c r="B16" s="151" t="s">
        <v>6</v>
      </c>
      <c r="C16" s="151" t="s">
        <v>250</v>
      </c>
      <c r="D16" s="151" t="s">
        <v>299</v>
      </c>
      <c r="E16" s="97">
        <v>0.65</v>
      </c>
      <c r="F16" s="158">
        <v>0.25</v>
      </c>
      <c r="G16" s="97">
        <v>75</v>
      </c>
    </row>
    <row r="17" spans="1:7" ht="14.25" customHeight="1" x14ac:dyDescent="0.2">
      <c r="A17" s="166"/>
      <c r="B17" s="153" t="s">
        <v>423</v>
      </c>
      <c r="C17" s="153" t="s">
        <v>199</v>
      </c>
      <c r="D17" s="153" t="s">
        <v>292</v>
      </c>
      <c r="E17" s="157">
        <f>E12</f>
        <v>4</v>
      </c>
      <c r="F17" s="155"/>
      <c r="G17" s="157">
        <f>40*10</f>
        <v>400</v>
      </c>
    </row>
    <row r="18" spans="1:7" ht="14.25" customHeight="1" x14ac:dyDescent="0.2">
      <c r="A18" s="166"/>
      <c r="B18" s="151" t="s">
        <v>8</v>
      </c>
      <c r="C18" s="151" t="s">
        <v>251</v>
      </c>
      <c r="D18" s="151" t="s">
        <v>299</v>
      </c>
      <c r="E18" s="97">
        <v>0.65</v>
      </c>
      <c r="F18" s="158">
        <v>0.25</v>
      </c>
      <c r="G18" s="97">
        <v>15</v>
      </c>
    </row>
    <row r="19" spans="1:7" ht="14.25" customHeight="1" x14ac:dyDescent="0.2">
      <c r="A19" s="166"/>
      <c r="B19" s="151" t="s">
        <v>281</v>
      </c>
      <c r="C19" s="151" t="s">
        <v>200</v>
      </c>
      <c r="D19" s="151" t="s">
        <v>296</v>
      </c>
      <c r="E19" s="152">
        <v>13</v>
      </c>
      <c r="F19" s="97"/>
      <c r="G19" s="97">
        <f>10*10</f>
        <v>100</v>
      </c>
    </row>
    <row r="20" spans="1:7" ht="14.25" customHeight="1" x14ac:dyDescent="0.2">
      <c r="A20" s="166"/>
      <c r="B20" s="151" t="s">
        <v>9</v>
      </c>
      <c r="C20" s="151" t="s">
        <v>252</v>
      </c>
      <c r="D20" s="151" t="s">
        <v>299</v>
      </c>
      <c r="E20" s="97">
        <v>0.65</v>
      </c>
      <c r="F20" s="158">
        <v>0.25</v>
      </c>
      <c r="G20" s="97">
        <v>60</v>
      </c>
    </row>
    <row r="21" spans="1:7" ht="14.25" customHeight="1" x14ac:dyDescent="0.2">
      <c r="A21" s="166"/>
      <c r="B21" s="153" t="s">
        <v>424</v>
      </c>
      <c r="C21" s="153" t="s">
        <v>199</v>
      </c>
      <c r="D21" s="153" t="s">
        <v>292</v>
      </c>
      <c r="E21" s="157">
        <f>E12</f>
        <v>4</v>
      </c>
      <c r="F21" s="155"/>
      <c r="G21" s="157">
        <f>40*10</f>
        <v>400</v>
      </c>
    </row>
    <row r="22" spans="1:7" ht="14.25" customHeight="1" x14ac:dyDescent="0.2">
      <c r="A22" s="166"/>
      <c r="B22" s="151" t="s">
        <v>11</v>
      </c>
      <c r="C22" s="151" t="s">
        <v>250</v>
      </c>
      <c r="D22" s="151" t="s">
        <v>299</v>
      </c>
      <c r="E22" s="97">
        <v>0.65</v>
      </c>
      <c r="F22" s="158">
        <v>0.25</v>
      </c>
      <c r="G22" s="97">
        <v>75</v>
      </c>
    </row>
    <row r="23" spans="1:7" ht="14.25" customHeight="1" x14ac:dyDescent="0.25">
      <c r="A23" s="166"/>
      <c r="B23" s="159" t="s">
        <v>12</v>
      </c>
      <c r="C23" s="151" t="s">
        <v>288</v>
      </c>
      <c r="D23" s="159" t="s">
        <v>293</v>
      </c>
      <c r="E23" s="220">
        <v>5</v>
      </c>
      <c r="F23" s="160"/>
      <c r="G23" s="160"/>
    </row>
    <row r="24" spans="1:7" ht="14.25" customHeight="1" x14ac:dyDescent="0.2">
      <c r="A24" s="166"/>
      <c r="B24" s="151" t="s">
        <v>13</v>
      </c>
      <c r="C24" s="151" t="s">
        <v>201</v>
      </c>
      <c r="D24" s="151" t="s">
        <v>294</v>
      </c>
      <c r="E24" s="97">
        <v>8.1999999999999993</v>
      </c>
      <c r="F24" s="97"/>
      <c r="G24" s="97"/>
    </row>
    <row r="25" spans="1:7" ht="14.25" customHeight="1" x14ac:dyDescent="0.2">
      <c r="A25" s="166"/>
      <c r="B25" s="151" t="s">
        <v>14</v>
      </c>
      <c r="C25" s="151" t="s">
        <v>201</v>
      </c>
      <c r="D25" s="151" t="s">
        <v>295</v>
      </c>
      <c r="E25" s="152">
        <v>14</v>
      </c>
      <c r="F25" s="97"/>
      <c r="G25" s="97"/>
    </row>
    <row r="26" spans="1:7" ht="14.25" customHeight="1" x14ac:dyDescent="0.2">
      <c r="A26" s="166"/>
      <c r="B26" s="153" t="s">
        <v>15</v>
      </c>
      <c r="C26" s="153" t="s">
        <v>202</v>
      </c>
      <c r="D26" s="153" t="s">
        <v>418</v>
      </c>
      <c r="E26" s="157">
        <v>6</v>
      </c>
      <c r="F26" s="155"/>
      <c r="G26" s="155"/>
    </row>
    <row r="27" spans="1:7" ht="14.25" customHeight="1" x14ac:dyDescent="0.2">
      <c r="A27" s="166"/>
      <c r="B27" s="159" t="s">
        <v>283</v>
      </c>
      <c r="C27" s="151" t="s">
        <v>203</v>
      </c>
      <c r="D27" s="151" t="s">
        <v>291</v>
      </c>
      <c r="E27" s="152">
        <v>6</v>
      </c>
      <c r="F27" s="97"/>
      <c r="G27" s="97"/>
    </row>
    <row r="28" spans="1:7" ht="18" customHeight="1" x14ac:dyDescent="0.25">
      <c r="A28" s="166"/>
      <c r="B28" s="159" t="s">
        <v>17</v>
      </c>
      <c r="C28" s="151"/>
      <c r="D28" s="151" t="s">
        <v>289</v>
      </c>
      <c r="E28" s="97">
        <v>0.04</v>
      </c>
      <c r="F28" s="97"/>
      <c r="G28" s="97"/>
    </row>
    <row r="29" spans="1:7" ht="14.25" customHeight="1" x14ac:dyDescent="0.2">
      <c r="A29" s="166"/>
      <c r="B29" s="159" t="s">
        <v>284</v>
      </c>
      <c r="C29" s="151" t="s">
        <v>201</v>
      </c>
      <c r="D29" s="151" t="s">
        <v>301</v>
      </c>
      <c r="E29" s="256">
        <v>0.02</v>
      </c>
      <c r="F29" s="97"/>
      <c r="G29" s="97"/>
    </row>
    <row r="30" spans="1:7" ht="14.25" customHeight="1" x14ac:dyDescent="0.25">
      <c r="A30" s="166"/>
      <c r="B30" s="151" t="s">
        <v>19</v>
      </c>
      <c r="C30" s="151" t="s">
        <v>204</v>
      </c>
      <c r="D30" s="151" t="s">
        <v>205</v>
      </c>
      <c r="E30" s="97" t="s">
        <v>205</v>
      </c>
      <c r="F30" s="97"/>
      <c r="G30" s="97"/>
    </row>
    <row r="31" spans="1:7" ht="14.25" customHeight="1" x14ac:dyDescent="0.25">
      <c r="A31" s="166"/>
      <c r="B31" s="151" t="s">
        <v>20</v>
      </c>
      <c r="C31" s="151" t="s">
        <v>206</v>
      </c>
      <c r="D31" s="151" t="s">
        <v>290</v>
      </c>
      <c r="E31" s="97">
        <v>0.95</v>
      </c>
      <c r="F31" s="97"/>
      <c r="G31" s="97"/>
    </row>
    <row r="32" spans="1:7" ht="14.25" customHeight="1" x14ac:dyDescent="0.25">
      <c r="A32" s="166"/>
      <c r="B32" s="151" t="s">
        <v>21</v>
      </c>
      <c r="C32" s="151" t="s">
        <v>207</v>
      </c>
      <c r="D32" s="151" t="s">
        <v>291</v>
      </c>
      <c r="E32" s="97">
        <v>3</v>
      </c>
      <c r="F32" s="97"/>
      <c r="G32" s="97"/>
    </row>
    <row r="33" spans="1:7" ht="14.25" customHeight="1" x14ac:dyDescent="0.25">
      <c r="A33" s="166"/>
      <c r="B33" s="151" t="s">
        <v>22</v>
      </c>
      <c r="C33" s="151" t="s">
        <v>195</v>
      </c>
      <c r="D33" s="151" t="s">
        <v>195</v>
      </c>
      <c r="E33" s="97" t="s">
        <v>205</v>
      </c>
      <c r="F33" s="97"/>
      <c r="G33" s="97"/>
    </row>
    <row r="34" spans="1:7" ht="14.25" customHeight="1" x14ac:dyDescent="0.25">
      <c r="A34" s="166"/>
      <c r="B34" s="151" t="s">
        <v>23</v>
      </c>
      <c r="C34" s="151" t="s">
        <v>208</v>
      </c>
      <c r="D34" s="151" t="s">
        <v>298</v>
      </c>
      <c r="E34" s="97">
        <f>75/100</f>
        <v>0.75</v>
      </c>
      <c r="F34" s="97"/>
      <c r="G34" s="97"/>
    </row>
    <row r="35" spans="1:7" ht="14.25" customHeight="1" x14ac:dyDescent="0.25">
      <c r="A35" s="166"/>
      <c r="B35" s="151" t="s">
        <v>24</v>
      </c>
      <c r="C35" s="151" t="s">
        <v>205</v>
      </c>
      <c r="D35" s="151" t="s">
        <v>195</v>
      </c>
      <c r="E35" s="97" t="s">
        <v>205</v>
      </c>
      <c r="F35" s="97"/>
      <c r="G35" s="97"/>
    </row>
    <row r="36" spans="1:7" ht="13.5" customHeight="1" x14ac:dyDescent="0.25">
      <c r="B36" s="161"/>
      <c r="C36" s="161"/>
      <c r="D36" s="161"/>
    </row>
    <row r="37" spans="1:7" ht="13.5" customHeight="1" thickBot="1" x14ac:dyDescent="0.3">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c r="B46" s="161"/>
      <c r="C46" s="161"/>
      <c r="D46" s="161"/>
    </row>
    <row r="47" spans="1:7" ht="13.5" customHeight="1" x14ac:dyDescent="0.25">
      <c r="B47" s="162" t="s">
        <v>242</v>
      </c>
    </row>
    <row r="48" spans="1:7" ht="30.75" customHeight="1" x14ac:dyDescent="0.2">
      <c r="B48" s="127" t="s">
        <v>253</v>
      </c>
    </row>
    <row r="49" spans="1:6" ht="21" customHeight="1" x14ac:dyDescent="0.25">
      <c r="B49" s="133" t="s">
        <v>219</v>
      </c>
    </row>
    <row r="50" spans="1:6" ht="14.25" customHeight="1" x14ac:dyDescent="0.25">
      <c r="B50" s="96" t="s">
        <v>217</v>
      </c>
      <c r="C50" s="167">
        <v>7.0000000000000007E-2</v>
      </c>
      <c r="D50" s="168" t="s">
        <v>257</v>
      </c>
    </row>
    <row r="51" spans="1:6" ht="15" customHeight="1" x14ac:dyDescent="0.25"/>
    <row r="52" spans="1:6" ht="15" customHeight="1" x14ac:dyDescent="0.25">
      <c r="B52" s="96" t="s">
        <v>211</v>
      </c>
      <c r="C52" s="97" t="s">
        <v>212</v>
      </c>
      <c r="D52" s="167" t="s">
        <v>149</v>
      </c>
    </row>
    <row r="53" spans="1:6" ht="14.25" customHeight="1" x14ac:dyDescent="0.25">
      <c r="B53" s="131" t="s">
        <v>151</v>
      </c>
      <c r="C53" s="169">
        <v>0.61</v>
      </c>
      <c r="D53" s="170" t="s">
        <v>152</v>
      </c>
    </row>
    <row r="54" spans="1:6" ht="14.25" customHeight="1" x14ac:dyDescent="0.25">
      <c r="B54" s="131" t="str">
        <f>"Batt Insulation R"&amp;C54</f>
        <v>Batt Insulation R30</v>
      </c>
      <c r="C54" s="222">
        <f>E10</f>
        <v>30</v>
      </c>
      <c r="D54" s="131"/>
    </row>
    <row r="55" spans="1:6" ht="14.25" customHeight="1" x14ac:dyDescent="0.25">
      <c r="B55" s="131" t="s">
        <v>153</v>
      </c>
      <c r="C55" s="169">
        <v>4.38</v>
      </c>
      <c r="D55" s="131" t="s">
        <v>154</v>
      </c>
    </row>
    <row r="56" spans="1:6" ht="14.25" customHeight="1" x14ac:dyDescent="0.25">
      <c r="B56" s="131" t="s">
        <v>215</v>
      </c>
      <c r="C56" s="169">
        <v>0.45</v>
      </c>
      <c r="D56" s="131" t="s">
        <v>155</v>
      </c>
    </row>
    <row r="57" spans="1:6" ht="14.25" customHeight="1" x14ac:dyDescent="0.25">
      <c r="B57" s="132" t="s">
        <v>156</v>
      </c>
      <c r="C57" s="171">
        <v>0.92</v>
      </c>
      <c r="D57" s="132" t="s">
        <v>157</v>
      </c>
    </row>
    <row r="60" spans="1:6" ht="13.15" x14ac:dyDescent="0.25">
      <c r="B60" s="162" t="s">
        <v>242</v>
      </c>
    </row>
    <row r="61" spans="1:6" ht="13.15" x14ac:dyDescent="0.25">
      <c r="B61" s="162" t="s">
        <v>216</v>
      </c>
    </row>
    <row r="62" spans="1:6" ht="42.75" customHeight="1" x14ac:dyDescent="0.2">
      <c r="B62" s="488" t="s">
        <v>254</v>
      </c>
      <c r="C62" s="488"/>
      <c r="D62" s="488"/>
    </row>
    <row r="63" spans="1:6" ht="27.75" customHeight="1" x14ac:dyDescent="0.25">
      <c r="A63" s="172"/>
      <c r="B63" s="96" t="s">
        <v>211</v>
      </c>
      <c r="C63" s="97" t="s">
        <v>212</v>
      </c>
      <c r="D63" s="173" t="s">
        <v>149</v>
      </c>
      <c r="E63" s="172"/>
      <c r="F63" s="172"/>
    </row>
    <row r="64" spans="1:6" ht="14.25" customHeight="1" x14ac:dyDescent="0.25">
      <c r="A64" s="169"/>
      <c r="B64" s="130" t="s">
        <v>162</v>
      </c>
      <c r="C64" s="173">
        <v>0.25</v>
      </c>
      <c r="D64" s="174" t="s">
        <v>157</v>
      </c>
      <c r="E64" s="172"/>
      <c r="F64" s="172"/>
    </row>
    <row r="65" spans="1:6" ht="14.25" customHeight="1" x14ac:dyDescent="0.2">
      <c r="A65" s="169"/>
      <c r="B65" s="131" t="s">
        <v>221</v>
      </c>
      <c r="C65" s="175">
        <f>0.8/9.7</f>
        <v>8.2474226804123724E-2</v>
      </c>
      <c r="D65" s="131" t="s">
        <v>163</v>
      </c>
      <c r="E65" s="172"/>
      <c r="F65" s="172"/>
    </row>
    <row r="66" spans="1:6" ht="14.25" customHeight="1" x14ac:dyDescent="0.25">
      <c r="A66" s="169"/>
      <c r="B66" s="131" t="s">
        <v>164</v>
      </c>
      <c r="C66" s="176">
        <v>0</v>
      </c>
      <c r="D66" s="131"/>
      <c r="E66" s="172"/>
      <c r="F66" s="172"/>
    </row>
    <row r="67" spans="1:6" ht="14.25" customHeight="1" x14ac:dyDescent="0.25">
      <c r="A67" s="169"/>
      <c r="B67" s="131" t="s">
        <v>267</v>
      </c>
      <c r="C67" s="177">
        <f>C106</f>
        <v>2.5810069008782937</v>
      </c>
      <c r="D67" s="131" t="s">
        <v>165</v>
      </c>
      <c r="E67" s="172"/>
      <c r="F67" s="172"/>
    </row>
    <row r="68" spans="1:6" ht="14.25" customHeight="1" x14ac:dyDescent="0.25">
      <c r="A68" s="169"/>
      <c r="B68" s="131" t="str">
        <f>"0.75 Inch"&amp;" R"&amp;C68&amp;" "&amp;"Insulation Board"</f>
        <v>0.75 Inch R4 Insulation Board</v>
      </c>
      <c r="C68" s="177">
        <f>E12</f>
        <v>4</v>
      </c>
      <c r="D68" s="131"/>
      <c r="E68" s="172"/>
      <c r="F68" s="172"/>
    </row>
    <row r="69" spans="1:6" ht="14.25" customHeight="1" x14ac:dyDescent="0.25">
      <c r="A69" s="169"/>
      <c r="B69" s="131" t="s">
        <v>214</v>
      </c>
      <c r="C69" s="178">
        <v>1.22</v>
      </c>
      <c r="D69" s="131" t="s">
        <v>166</v>
      </c>
      <c r="E69" s="172"/>
      <c r="F69" s="172"/>
    </row>
    <row r="70" spans="1:6" ht="14.25" customHeight="1" x14ac:dyDescent="0.25">
      <c r="A70" s="169"/>
      <c r="B70" s="131" t="s">
        <v>215</v>
      </c>
      <c r="C70" s="178">
        <v>0.45</v>
      </c>
      <c r="D70" s="131" t="s">
        <v>155</v>
      </c>
      <c r="E70" s="172"/>
      <c r="F70" s="172"/>
    </row>
    <row r="71" spans="1:6" ht="14.25" customHeight="1" x14ac:dyDescent="0.25">
      <c r="A71" s="169"/>
      <c r="B71" s="132" t="s">
        <v>167</v>
      </c>
      <c r="C71" s="179">
        <v>0.68</v>
      </c>
      <c r="D71" s="132" t="s">
        <v>157</v>
      </c>
      <c r="E71" s="172"/>
      <c r="F71" s="172"/>
    </row>
    <row r="72" spans="1:6" ht="13.5" customHeight="1" x14ac:dyDescent="0.25"/>
    <row r="73" spans="1:6" ht="13.5" customHeight="1" x14ac:dyDescent="0.25"/>
    <row r="74" spans="1:6" ht="13.5" customHeight="1" x14ac:dyDescent="0.25">
      <c r="A74" s="162" t="s">
        <v>242</v>
      </c>
    </row>
    <row r="75" spans="1:6" ht="36.75" customHeight="1" x14ac:dyDescent="0.2">
      <c r="B75" s="489" t="s">
        <v>255</v>
      </c>
      <c r="C75" s="489"/>
      <c r="D75" s="489"/>
      <c r="E75" s="180"/>
    </row>
    <row r="76" spans="1:6" ht="16.5" customHeight="1" x14ac:dyDescent="0.25">
      <c r="A76" s="180"/>
      <c r="B76" s="96" t="s">
        <v>222</v>
      </c>
      <c r="C76" s="99">
        <f>0.25</f>
        <v>0.25</v>
      </c>
      <c r="D76" s="97"/>
      <c r="E76" s="180"/>
    </row>
    <row r="77" spans="1:6" ht="13.5" customHeight="1" x14ac:dyDescent="0.25">
      <c r="A77" s="172"/>
      <c r="E77" s="129"/>
    </row>
    <row r="78" spans="1:6" ht="16.5" customHeight="1" x14ac:dyDescent="0.25">
      <c r="B78" s="133" t="s">
        <v>220</v>
      </c>
      <c r="E78" s="181"/>
    </row>
    <row r="79" spans="1:6" ht="16.5" customHeight="1" x14ac:dyDescent="0.25">
      <c r="B79" s="96" t="s">
        <v>211</v>
      </c>
      <c r="C79" s="97" t="s">
        <v>212</v>
      </c>
      <c r="D79" s="167" t="s">
        <v>149</v>
      </c>
      <c r="E79" s="181"/>
    </row>
    <row r="80" spans="1:6" ht="15.75" customHeight="1" x14ac:dyDescent="0.25">
      <c r="A80" s="169"/>
      <c r="B80" s="130" t="s">
        <v>162</v>
      </c>
      <c r="C80" s="182">
        <v>0.25</v>
      </c>
      <c r="D80" s="174" t="s">
        <v>157</v>
      </c>
      <c r="E80" s="183"/>
    </row>
    <row r="81" spans="1:7" ht="15.75" customHeight="1" x14ac:dyDescent="0.2">
      <c r="A81" s="169"/>
      <c r="B81" s="131" t="s">
        <v>221</v>
      </c>
      <c r="C81" s="175">
        <f>0.8/9.7</f>
        <v>8.2474226804123724E-2</v>
      </c>
      <c r="D81" s="184" t="s">
        <v>163</v>
      </c>
      <c r="E81" s="183"/>
    </row>
    <row r="82" spans="1:7" ht="15.75" customHeight="1" x14ac:dyDescent="0.25">
      <c r="A82" s="169"/>
      <c r="B82" s="131" t="s">
        <v>168</v>
      </c>
      <c r="C82" s="183">
        <v>0.79</v>
      </c>
      <c r="D82" s="185" t="s">
        <v>155</v>
      </c>
      <c r="E82" s="186"/>
    </row>
    <row r="83" spans="1:7" ht="15.75" customHeight="1" x14ac:dyDescent="0.25">
      <c r="A83" s="169"/>
      <c r="B83" s="131" t="s">
        <v>153</v>
      </c>
      <c r="C83" s="183">
        <v>4.38</v>
      </c>
      <c r="D83" s="185" t="s">
        <v>154</v>
      </c>
      <c r="E83" s="169"/>
    </row>
    <row r="84" spans="1:7" ht="15.75" customHeight="1" x14ac:dyDescent="0.25">
      <c r="A84" s="169"/>
      <c r="B84" s="131" t="str">
        <f>"Fiber Glass Batt Insulation"&amp;" R"&amp;C84</f>
        <v>Fiber Glass Batt Insulation R13</v>
      </c>
      <c r="C84" s="221">
        <f>E19</f>
        <v>13</v>
      </c>
      <c r="D84" s="187"/>
      <c r="E84" s="169"/>
    </row>
    <row r="85" spans="1:7" ht="15.75" customHeight="1" x14ac:dyDescent="0.25">
      <c r="A85" s="169"/>
      <c r="B85" s="131" t="s">
        <v>215</v>
      </c>
      <c r="C85" s="169">
        <v>0.45</v>
      </c>
      <c r="D85" s="170" t="s">
        <v>155</v>
      </c>
    </row>
    <row r="86" spans="1:7" ht="15.75" customHeight="1" x14ac:dyDescent="0.25">
      <c r="A86" s="169"/>
      <c r="B86" s="132" t="s">
        <v>167</v>
      </c>
      <c r="C86" s="171">
        <v>0.68</v>
      </c>
      <c r="D86" s="188" t="s">
        <v>157</v>
      </c>
    </row>
    <row r="87" spans="1:7" ht="14.25" customHeight="1" x14ac:dyDescent="0.25"/>
    <row r="88" spans="1:7" ht="14.25" customHeight="1" x14ac:dyDescent="0.25"/>
    <row r="89" spans="1:7" ht="14.25" customHeight="1" x14ac:dyDescent="0.25"/>
    <row r="90" spans="1:7" ht="14.25" customHeight="1" x14ac:dyDescent="0.25"/>
    <row r="91" spans="1:7" ht="16.5" customHeight="1" x14ac:dyDescent="0.25">
      <c r="A91" s="172"/>
      <c r="B91" s="168" t="s">
        <v>223</v>
      </c>
      <c r="C91" s="189"/>
      <c r="D91" s="130"/>
      <c r="E91" s="172"/>
      <c r="F91" s="172"/>
      <c r="G91" s="172"/>
    </row>
    <row r="92" spans="1:7" ht="16.5" customHeight="1" x14ac:dyDescent="0.25">
      <c r="A92" s="172"/>
      <c r="B92" s="96" t="s">
        <v>258</v>
      </c>
      <c r="C92" s="190" t="s">
        <v>171</v>
      </c>
      <c r="D92" s="167" t="s">
        <v>172</v>
      </c>
      <c r="E92" s="169"/>
      <c r="F92" s="172"/>
      <c r="G92" s="172"/>
    </row>
    <row r="93" spans="1:7" ht="15.75" customHeight="1" x14ac:dyDescent="0.2">
      <c r="A93" s="172"/>
      <c r="B93" s="191" t="s">
        <v>173</v>
      </c>
      <c r="C93" s="192">
        <v>7.625</v>
      </c>
      <c r="D93" s="173" t="s">
        <v>174</v>
      </c>
      <c r="E93" s="172"/>
      <c r="F93" s="172"/>
      <c r="G93" s="172"/>
    </row>
    <row r="94" spans="1:7" ht="15.75" customHeight="1" x14ac:dyDescent="0.2">
      <c r="A94" s="172"/>
      <c r="B94" s="193" t="s">
        <v>175</v>
      </c>
      <c r="C94" s="194">
        <v>7.625</v>
      </c>
      <c r="D94" s="178" t="s">
        <v>174</v>
      </c>
      <c r="E94" s="172"/>
      <c r="F94" s="172"/>
      <c r="G94" s="172"/>
    </row>
    <row r="95" spans="1:7" ht="15.75" customHeight="1" x14ac:dyDescent="0.2">
      <c r="A95" s="172"/>
      <c r="B95" s="193" t="s">
        <v>176</v>
      </c>
      <c r="C95" s="195">
        <v>15.625</v>
      </c>
      <c r="D95" s="178" t="s">
        <v>174</v>
      </c>
      <c r="E95" s="172"/>
      <c r="F95" s="172"/>
      <c r="G95" s="172"/>
    </row>
    <row r="96" spans="1:7" ht="15.75" customHeight="1" x14ac:dyDescent="0.2">
      <c r="A96" s="172"/>
      <c r="B96" s="193" t="s">
        <v>177</v>
      </c>
      <c r="C96" s="196">
        <v>1</v>
      </c>
      <c r="D96" s="178" t="s">
        <v>174</v>
      </c>
      <c r="E96" s="172"/>
      <c r="F96" s="172"/>
      <c r="G96" s="172"/>
    </row>
    <row r="97" spans="1:7" ht="15.75" customHeight="1" x14ac:dyDescent="0.2">
      <c r="A97" s="172"/>
      <c r="B97" s="193" t="s">
        <v>178</v>
      </c>
      <c r="C97" s="195">
        <v>1.25</v>
      </c>
      <c r="D97" s="178" t="s">
        <v>174</v>
      </c>
      <c r="E97" s="172"/>
      <c r="F97" s="172"/>
      <c r="G97" s="172"/>
    </row>
    <row r="98" spans="1:7" ht="15.75" customHeight="1" x14ac:dyDescent="0.2">
      <c r="A98" s="172"/>
      <c r="B98" s="193" t="s">
        <v>179</v>
      </c>
      <c r="C98" s="197">
        <v>0.1</v>
      </c>
      <c r="D98" s="178" t="s">
        <v>188</v>
      </c>
      <c r="E98" s="172"/>
      <c r="F98" s="172"/>
      <c r="G98" s="172"/>
    </row>
    <row r="99" spans="1:7" ht="15.75" customHeight="1" x14ac:dyDescent="0.2">
      <c r="A99" s="172"/>
      <c r="B99" s="193" t="s">
        <v>180</v>
      </c>
      <c r="C99" s="197">
        <v>2.9</v>
      </c>
      <c r="D99" s="178" t="s">
        <v>188</v>
      </c>
      <c r="E99" s="172"/>
      <c r="F99" s="172"/>
      <c r="G99" s="172"/>
    </row>
    <row r="100" spans="1:7" ht="13.5" customHeight="1" x14ac:dyDescent="0.2">
      <c r="A100" s="172"/>
      <c r="B100" s="193"/>
      <c r="C100" s="195"/>
      <c r="D100" s="178"/>
      <c r="E100" s="172"/>
      <c r="F100" s="172"/>
      <c r="G100" s="172"/>
    </row>
    <row r="101" spans="1:7" ht="15.75" customHeight="1" x14ac:dyDescent="0.2">
      <c r="A101" s="172"/>
      <c r="B101" s="193" t="s">
        <v>181</v>
      </c>
      <c r="C101" s="198">
        <f>2*C97*C98</f>
        <v>0.25</v>
      </c>
      <c r="D101" s="178" t="s">
        <v>188</v>
      </c>
      <c r="E101" s="172"/>
      <c r="F101" s="172"/>
      <c r="G101" s="172"/>
    </row>
    <row r="102" spans="1:7" ht="15.75" customHeight="1" x14ac:dyDescent="0.2">
      <c r="A102" s="172"/>
      <c r="B102" s="193" t="s">
        <v>182</v>
      </c>
      <c r="C102" s="198">
        <f>(C93-2*C97)*C98</f>
        <v>0.51250000000000007</v>
      </c>
      <c r="D102" s="178" t="s">
        <v>188</v>
      </c>
      <c r="E102" s="172"/>
      <c r="F102" s="172"/>
      <c r="G102" s="172"/>
    </row>
    <row r="103" spans="1:7" ht="15.75" customHeight="1" x14ac:dyDescent="0.2">
      <c r="A103" s="172"/>
      <c r="B103" s="193" t="s">
        <v>183</v>
      </c>
      <c r="C103" s="198">
        <f>(C93-2*C97)*C99</f>
        <v>14.862499999999999</v>
      </c>
      <c r="D103" s="178" t="s">
        <v>188</v>
      </c>
      <c r="E103" s="172"/>
      <c r="F103" s="172"/>
      <c r="G103" s="172"/>
    </row>
    <row r="104" spans="1:7" ht="15.75" customHeight="1" x14ac:dyDescent="0.2">
      <c r="A104" s="172"/>
      <c r="B104" s="193" t="s">
        <v>184</v>
      </c>
      <c r="C104" s="198">
        <f>3*C96/C95</f>
        <v>0.192</v>
      </c>
      <c r="D104" s="178" t="s">
        <v>185</v>
      </c>
      <c r="E104" s="172"/>
      <c r="F104" s="172"/>
      <c r="G104" s="172"/>
    </row>
    <row r="105" spans="1:7" ht="15.75" customHeight="1" x14ac:dyDescent="0.2">
      <c r="A105" s="172"/>
      <c r="B105" s="199" t="s">
        <v>186</v>
      </c>
      <c r="C105" s="200">
        <f>(C95-3*C96)/C95</f>
        <v>0.80800000000000005</v>
      </c>
      <c r="D105" s="178" t="s">
        <v>185</v>
      </c>
      <c r="E105" s="172"/>
      <c r="F105" s="172"/>
      <c r="G105" s="172"/>
    </row>
    <row r="106" spans="1:7" ht="16.5" customHeight="1" x14ac:dyDescent="0.2">
      <c r="A106" s="172"/>
      <c r="B106" s="201" t="s">
        <v>187</v>
      </c>
      <c r="C106" s="449">
        <f>C101+1/(C104/C102+C105/C103)</f>
        <v>2.5810069008782937</v>
      </c>
      <c r="D106" s="167" t="s">
        <v>188</v>
      </c>
      <c r="E106" s="172"/>
      <c r="F106" s="172"/>
      <c r="G106" s="172"/>
    </row>
    <row r="108" spans="1:7" x14ac:dyDescent="0.2">
      <c r="B108" s="202"/>
    </row>
    <row r="109" spans="1:7" ht="15" customHeight="1" x14ac:dyDescent="0.2">
      <c r="B109" s="202" t="s">
        <v>189</v>
      </c>
    </row>
    <row r="110" spans="1:7" ht="34.5" customHeight="1" x14ac:dyDescent="0.2">
      <c r="B110" s="481" t="s">
        <v>190</v>
      </c>
      <c r="C110" s="481"/>
      <c r="D110" s="481"/>
    </row>
    <row r="114" spans="1:3" x14ac:dyDescent="0.2">
      <c r="C114" s="202"/>
    </row>
    <row r="115" spans="1:3" x14ac:dyDescent="0.2">
      <c r="A115" s="166"/>
    </row>
    <row r="116" spans="1:3" x14ac:dyDescent="0.2">
      <c r="A116" s="166"/>
    </row>
    <row r="117" spans="1:3" x14ac:dyDescent="0.2">
      <c r="A117" s="166"/>
    </row>
    <row r="118" spans="1:3" x14ac:dyDescent="0.2">
      <c r="A118" s="166"/>
    </row>
  </sheetData>
  <sheetProtection password="BDDF" sheet="1" objects="1" scenarios="1"/>
  <mergeCells count="3">
    <mergeCell ref="B110:D110"/>
    <mergeCell ref="B62:D62"/>
    <mergeCell ref="B75:D75"/>
  </mergeCells>
  <pageMargins left="0.7" right="0.7" top="0.75" bottom="0.75" header="0.3" footer="0.3"/>
  <pageSetup scale="55"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89" zoomScaleNormal="89" workbookViewId="0">
      <selection activeCell="G101" sqref="G101"/>
    </sheetView>
  </sheetViews>
  <sheetFormatPr defaultColWidth="9.140625" defaultRowHeight="15" x14ac:dyDescent="0.25"/>
  <cols>
    <col min="1" max="1" width="4.42578125" style="258" customWidth="1"/>
    <col min="2" max="2" width="46.7109375" style="258" customWidth="1"/>
    <col min="3" max="3" width="23.140625" style="258" customWidth="1"/>
    <col min="4" max="4" width="20.28515625" style="258" customWidth="1"/>
    <col min="5" max="5" width="21" style="258" customWidth="1"/>
    <col min="6" max="6" width="20.140625" style="258" customWidth="1"/>
    <col min="7" max="7" width="26.28515625" style="258" customWidth="1"/>
    <col min="8" max="8" width="26.28515625" style="258" hidden="1" customWidth="1"/>
    <col min="9" max="9" width="24.7109375" style="258" customWidth="1"/>
    <col min="10" max="16384" width="9.140625" style="258"/>
  </cols>
  <sheetData>
    <row r="1" spans="1:8" ht="7.5" customHeight="1" x14ac:dyDescent="0.3">
      <c r="A1" s="13"/>
      <c r="B1" s="13"/>
      <c r="C1" s="13"/>
      <c r="D1" s="13"/>
      <c r="E1" s="13"/>
      <c r="F1" s="13"/>
      <c r="G1" s="13"/>
    </row>
    <row r="3" spans="1:8" ht="34.5" customHeight="1" x14ac:dyDescent="0.3">
      <c r="B3" s="260" t="s">
        <v>25</v>
      </c>
      <c r="C3" s="260" t="s">
        <v>27</v>
      </c>
      <c r="D3" s="469" t="str">
        <f>IF(Instructions!D2="","Enter Vendor's Software Name In Instruction Sheet",Instructions!D2)</f>
        <v>Enter Vendor's Software Name In Instruction Sheet</v>
      </c>
      <c r="E3" s="469"/>
    </row>
    <row r="4" spans="1:8" ht="15" customHeight="1" x14ac:dyDescent="0.3">
      <c r="B4" s="328" t="str">
        <f>D_T01!B2</f>
        <v xml:space="preserve">Prescriptive Test: House T01 (Pr-T01) Characteristics – Location: Tampa, Florida. </v>
      </c>
      <c r="C4" s="328"/>
      <c r="D4" s="328"/>
      <c r="E4" s="328"/>
    </row>
    <row r="5" spans="1:8" ht="15" customHeight="1" x14ac:dyDescent="0.3">
      <c r="B5" s="328" t="str">
        <f>D_T01!B3</f>
        <v>Single Family Detached Home with No Attached Garage, Single Story, Three bedroom.</v>
      </c>
      <c r="C5" s="328"/>
      <c r="D5" s="328"/>
      <c r="E5" s="328"/>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1" t="str">
        <f>D_T01!B4</f>
        <v>House Pr-T01</v>
      </c>
      <c r="C9" s="10" t="s">
        <v>243</v>
      </c>
      <c r="D9" s="117" t="s">
        <v>75</v>
      </c>
      <c r="E9" s="4"/>
    </row>
    <row r="10" spans="1:8" thickBot="1" x14ac:dyDescent="0.35">
      <c r="C10" s="10" t="s">
        <v>86</v>
      </c>
      <c r="D10" s="10" t="s">
        <v>29</v>
      </c>
      <c r="E10" s="4"/>
    </row>
    <row r="11" spans="1:8" thickBot="1" x14ac:dyDescent="0.35">
      <c r="B11" s="248" t="str">
        <f>D_T01!B8</f>
        <v>Slab-on-grade Floor</v>
      </c>
      <c r="C11" s="104"/>
      <c r="D11" s="106" t="str">
        <f>IF(C11="Complies","Pass","Fail")</f>
        <v>Fail</v>
      </c>
      <c r="E11" s="6"/>
      <c r="H11" s="9">
        <f t="shared" ref="H11:H23" si="0">IF(OR(D11="Not applicable",D11="Software Doesn't Check",D11="Pass"),0,1)</f>
        <v>1</v>
      </c>
    </row>
    <row r="12" spans="1:8" ht="15.75" thickBot="1" x14ac:dyDescent="0.3">
      <c r="B12" s="249" t="str">
        <f>D_T01!B9</f>
        <v>Roof – gable type- 5 in 12 slope No overhangs</v>
      </c>
      <c r="C12" s="104"/>
      <c r="D12" s="106" t="str">
        <f>IF(C12="Complies","Pass","Fail")</f>
        <v>Fail</v>
      </c>
      <c r="E12" s="6"/>
      <c r="H12" s="9">
        <f t="shared" si="0"/>
        <v>1</v>
      </c>
    </row>
    <row r="13" spans="1:8" ht="15.75" thickBot="1" x14ac:dyDescent="0.3">
      <c r="B13" s="249" t="str">
        <f>D_T01!B10</f>
        <v>Ceiling1 –flat under attic</v>
      </c>
      <c r="C13" s="104"/>
      <c r="D13" s="106" t="str">
        <f>IF(C13="Complies","Pass","Fail")</f>
        <v>Fail</v>
      </c>
      <c r="E13" s="6"/>
      <c r="H13" s="9">
        <f t="shared" si="0"/>
        <v>1</v>
      </c>
    </row>
    <row r="14" spans="1:8" thickBot="1" x14ac:dyDescent="0.35">
      <c r="B14" s="249" t="str">
        <f>D_T01!B11</f>
        <v xml:space="preserve">        Skylight</v>
      </c>
      <c r="C14" s="104"/>
      <c r="D14" s="106" t="str">
        <f>IF(C14="Complies","Pass","Fail")</f>
        <v>Fail</v>
      </c>
      <c r="E14" s="6"/>
      <c r="H14" s="9">
        <f t="shared" si="0"/>
        <v>1</v>
      </c>
    </row>
    <row r="15" spans="1:8" ht="15.75" thickBot="1" x14ac:dyDescent="0.3">
      <c r="B15" s="249" t="str">
        <f>D_T01!B12</f>
        <v>Wall 1 –faces North, CBS2</v>
      </c>
      <c r="C15" s="104"/>
      <c r="D15" s="106" t="str">
        <f>IF(C15="Complies","Pass","Fail")</f>
        <v>Fail</v>
      </c>
      <c r="E15" s="6"/>
      <c r="H15" s="9">
        <f t="shared" si="0"/>
        <v>1</v>
      </c>
    </row>
    <row r="16" spans="1:8" thickBot="1" x14ac:dyDescent="0.35">
      <c r="B16" s="249" t="str">
        <f>D_T01!B13</f>
        <v xml:space="preserve">        Door 1 - </v>
      </c>
      <c r="C16" s="107" t="s">
        <v>63</v>
      </c>
      <c r="D16" s="106" t="s">
        <v>63</v>
      </c>
      <c r="E16" s="6"/>
      <c r="H16" s="9">
        <f t="shared" si="0"/>
        <v>0</v>
      </c>
    </row>
    <row r="17" spans="2:8" ht="15.75" thickBot="1" x14ac:dyDescent="0.3">
      <c r="B17" s="249" t="str">
        <f>D_T01!B14</f>
        <v xml:space="preserve">        Window 1 – Vinyl Frame Low-e Double</v>
      </c>
      <c r="C17" s="107" t="s">
        <v>63</v>
      </c>
      <c r="D17" s="106" t="s">
        <v>63</v>
      </c>
      <c r="E17" s="6"/>
      <c r="H17" s="9">
        <f t="shared" si="0"/>
        <v>0</v>
      </c>
    </row>
    <row r="18" spans="2:8" ht="15.75" thickBot="1" x14ac:dyDescent="0.3">
      <c r="B18" s="249" t="str">
        <f>D_T01!B15</f>
        <v>Wall 2 –faces East, CBS</v>
      </c>
      <c r="C18" s="104"/>
      <c r="D18" s="106" t="str">
        <f>IF(C18="Complies","Pass","Fail")</f>
        <v>Fail</v>
      </c>
      <c r="E18" s="6"/>
      <c r="H18" s="9">
        <f t="shared" si="0"/>
        <v>1</v>
      </c>
    </row>
    <row r="19" spans="2:8" ht="15.75" thickBot="1" x14ac:dyDescent="0.3">
      <c r="B19" s="249" t="str">
        <f>D_T01!B16</f>
        <v xml:space="preserve">        Window 2 – Vinyl Frame Low-e Double</v>
      </c>
      <c r="C19" s="107" t="s">
        <v>63</v>
      </c>
      <c r="D19" s="106" t="s">
        <v>63</v>
      </c>
      <c r="E19" s="6"/>
      <c r="H19" s="9">
        <f t="shared" si="0"/>
        <v>0</v>
      </c>
    </row>
    <row r="20" spans="2:8" ht="15.75" thickBot="1" x14ac:dyDescent="0.3">
      <c r="B20" s="249" t="str">
        <f>D_T01!B17</f>
        <v>Wall 3 –faces South, CBS</v>
      </c>
      <c r="C20" s="104"/>
      <c r="D20" s="106" t="str">
        <f>IF(C20="Complies","Pass","Fail")</f>
        <v>Fail</v>
      </c>
      <c r="E20" s="6"/>
      <c r="H20" s="9">
        <f t="shared" si="0"/>
        <v>1</v>
      </c>
    </row>
    <row r="21" spans="2:8" ht="15.75" thickBot="1" x14ac:dyDescent="0.3">
      <c r="B21" s="249" t="str">
        <f>D_T01!B18</f>
        <v xml:space="preserve">        Window 3 – Vinyl Frame Low-e Double</v>
      </c>
      <c r="C21" s="107" t="s">
        <v>63</v>
      </c>
      <c r="D21" s="106" t="s">
        <v>63</v>
      </c>
      <c r="E21" s="6"/>
      <c r="H21" s="9">
        <f t="shared" si="0"/>
        <v>0</v>
      </c>
    </row>
    <row r="22" spans="2:8" ht="15.75" thickBot="1" x14ac:dyDescent="0.3">
      <c r="B22" s="249" t="str">
        <f>D_T01!B19</f>
        <v>Wall 4 –faces South, Wood3 2x4 Stud</v>
      </c>
      <c r="C22" s="104"/>
      <c r="D22" s="106" t="str">
        <f>IF(C22="Complies","Pass","Fail")</f>
        <v>Fail</v>
      </c>
      <c r="E22" s="6"/>
      <c r="H22" s="9">
        <f t="shared" si="0"/>
        <v>1</v>
      </c>
    </row>
    <row r="23" spans="2:8" ht="15.75" thickBot="1" x14ac:dyDescent="0.3">
      <c r="B23" s="249" t="str">
        <f>D_T01!B20</f>
        <v xml:space="preserve">        Window 4 – Vinyl Frame  Low-e Double</v>
      </c>
      <c r="C23" s="107" t="s">
        <v>63</v>
      </c>
      <c r="D23" s="106" t="s">
        <v>63</v>
      </c>
      <c r="E23" s="6"/>
      <c r="H23" s="9">
        <f t="shared" si="0"/>
        <v>0</v>
      </c>
    </row>
    <row r="24" spans="2:8" ht="15.75" thickBot="1" x14ac:dyDescent="0.3">
      <c r="B24" s="249" t="str">
        <f>D_T01!B21</f>
        <v>Wall 5 –faces West, CBS</v>
      </c>
      <c r="C24" s="104"/>
      <c r="D24" s="106" t="str">
        <f>IF(C24="Complies","Pass","Fail")</f>
        <v>Fail</v>
      </c>
      <c r="E24" s="6"/>
      <c r="H24" s="9">
        <f>IF(OR(D24="Not applicable",D24="Software Doesn't Check",D24="Pass"),0,1)</f>
        <v>1</v>
      </c>
    </row>
    <row r="25" spans="2:8" ht="15.75" thickBot="1" x14ac:dyDescent="0.3">
      <c r="B25" s="249" t="str">
        <f>D_T01!B22</f>
        <v xml:space="preserve">        Window 5 – Vinyl Frame Low-e Double</v>
      </c>
      <c r="C25" s="108" t="s">
        <v>63</v>
      </c>
      <c r="D25" s="106" t="s">
        <v>63</v>
      </c>
      <c r="E25" s="6"/>
      <c r="H25" s="9">
        <f t="shared" ref="H25:H46" si="1">IF(OR(D25="Not applicable",D25="Software Doesn't Check",D25="Pass"),0,1)</f>
        <v>0</v>
      </c>
    </row>
    <row r="26" spans="2:8" thickBot="1" x14ac:dyDescent="0.35">
      <c r="B26" s="249" t="str">
        <f>D_T01!B23</f>
        <v>Infiltration</v>
      </c>
      <c r="C26" s="109"/>
      <c r="D26" s="106" t="str">
        <f>IF(C26="Complies","Pass",IF(C26="Not part of software","Software Doesn't Check","Fail"))</f>
        <v>Fail</v>
      </c>
      <c r="E26" s="6"/>
      <c r="H26" s="9">
        <f t="shared" si="1"/>
        <v>1</v>
      </c>
    </row>
    <row r="27" spans="2:8" ht="15.75" thickBot="1" x14ac:dyDescent="0.3">
      <c r="B27" s="249" t="str">
        <f>D_T01!B24</f>
        <v>Heating – heat pump</v>
      </c>
      <c r="C27" s="114"/>
      <c r="D27" s="106" t="str">
        <f>IF(C27="Complies","Pass",IF(C27="Not part of software","Software Doesn't Check","Fail"))</f>
        <v>Fail</v>
      </c>
      <c r="E27" s="6"/>
      <c r="H27" s="9">
        <f t="shared" si="1"/>
        <v>1</v>
      </c>
    </row>
    <row r="28" spans="2:8" ht="15.75" thickBot="1" x14ac:dyDescent="0.3">
      <c r="B28" s="249" t="str">
        <f>D_T01!B25</f>
        <v>Cooling – heat pump</v>
      </c>
      <c r="C28" s="104"/>
      <c r="D28" s="106" t="str">
        <f>IF(C28="Complies","Pass",IF(C28="Not part of software","Software Doesn't Check","Fail"))</f>
        <v>Fail</v>
      </c>
      <c r="E28" s="6"/>
      <c r="H28" s="9">
        <f t="shared" si="1"/>
        <v>1</v>
      </c>
    </row>
    <row r="29" spans="2:8" ht="15.75" thickBot="1" x14ac:dyDescent="0.3">
      <c r="B29" s="249" t="str">
        <f>D_T01!B26</f>
        <v>Ducts – supply in attic</v>
      </c>
      <c r="C29" s="104"/>
      <c r="D29" s="106" t="str">
        <f>IF(C29="R-Value too low","Pass",IF(C29="Not part of software","Software Doesn't Check","Fail"))</f>
        <v>Fail</v>
      </c>
      <c r="E29" s="6"/>
      <c r="H29" s="9">
        <f t="shared" si="1"/>
        <v>1</v>
      </c>
    </row>
    <row r="30" spans="2:8" ht="15.75" thickBot="1" x14ac:dyDescent="0.3">
      <c r="B30" s="249" t="str">
        <f>D_T01!B27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D_T01!B28</f>
        <v>Duct Tightness</v>
      </c>
      <c r="C31" s="104"/>
      <c r="D31" s="106" t="str">
        <f t="shared" si="2"/>
        <v>Fail</v>
      </c>
      <c r="E31" s="6"/>
      <c r="H31" s="9">
        <f t="shared" si="1"/>
        <v>1</v>
      </c>
    </row>
    <row r="32" spans="2:8" ht="15.75" thickBot="1" x14ac:dyDescent="0.3">
      <c r="B32" s="249" t="str">
        <f>D_T01!B29</f>
        <v>Air Handler – in Conditioned Space</v>
      </c>
      <c r="C32" s="104"/>
      <c r="D32" s="106" t="str">
        <f t="shared" si="2"/>
        <v>Fail</v>
      </c>
      <c r="E32" s="6"/>
      <c r="H32" s="9">
        <f t="shared" si="1"/>
        <v>1</v>
      </c>
    </row>
    <row r="33" spans="1:8" thickBot="1" x14ac:dyDescent="0.35">
      <c r="B33" s="249" t="str">
        <f>D_T01!B30</f>
        <v>Mechanical Ventilation</v>
      </c>
      <c r="C33" s="104"/>
      <c r="D33" s="106" t="str">
        <f t="shared" si="2"/>
        <v>Fail</v>
      </c>
      <c r="E33" s="6"/>
      <c r="H33" s="9">
        <f t="shared" si="1"/>
        <v>1</v>
      </c>
    </row>
    <row r="34" spans="1:8" thickBot="1" x14ac:dyDescent="0.35">
      <c r="B34" s="249" t="str">
        <f>D_T01!B31</f>
        <v>Hot Water System - electric</v>
      </c>
      <c r="C34" s="104"/>
      <c r="D34" s="106" t="str">
        <f t="shared" si="2"/>
        <v>Fail</v>
      </c>
      <c r="E34" s="6"/>
      <c r="H34" s="9">
        <f t="shared" si="1"/>
        <v>1</v>
      </c>
    </row>
    <row r="35" spans="1:8" thickBot="1" x14ac:dyDescent="0.35">
      <c r="B35" s="249" t="str">
        <f>D_T01!B32</f>
        <v>All Hot Water Lines</v>
      </c>
      <c r="C35" s="104"/>
      <c r="D35" s="106" t="str">
        <f t="shared" si="2"/>
        <v>Fail</v>
      </c>
      <c r="E35" s="6"/>
      <c r="H35" s="9">
        <f t="shared" si="1"/>
        <v>1</v>
      </c>
    </row>
    <row r="36" spans="1:8" thickBot="1" x14ac:dyDescent="0.35">
      <c r="B36" s="249" t="str">
        <f>D_T01!B33</f>
        <v>Hot Water Circulation -none</v>
      </c>
      <c r="C36" s="104"/>
      <c r="D36" s="106" t="str">
        <f t="shared" si="2"/>
        <v>Fail</v>
      </c>
      <c r="E36" s="6"/>
      <c r="H36" s="9">
        <f t="shared" si="1"/>
        <v>1</v>
      </c>
    </row>
    <row r="37" spans="1:8" thickBot="1" x14ac:dyDescent="0.35">
      <c r="B37" s="249" t="str">
        <f>D_T01!B34</f>
        <v>Lighting</v>
      </c>
      <c r="C37" s="104"/>
      <c r="D37" s="106" t="str">
        <f t="shared" si="2"/>
        <v>Fail</v>
      </c>
      <c r="E37" s="6"/>
      <c r="H37" s="9">
        <f t="shared" si="1"/>
        <v>1</v>
      </c>
    </row>
    <row r="38" spans="1:8" thickBot="1" x14ac:dyDescent="0.35">
      <c r="B38" s="249" t="str">
        <f>D_T01!B35</f>
        <v>Pool and Spa - none</v>
      </c>
      <c r="C38" s="104"/>
      <c r="D38" s="106" t="str">
        <f t="shared" si="2"/>
        <v>Fail</v>
      </c>
      <c r="E38" s="6"/>
      <c r="H38" s="9">
        <f t="shared" si="1"/>
        <v>1</v>
      </c>
    </row>
    <row r="39" spans="1:8" thickBot="1" x14ac:dyDescent="0.35">
      <c r="B39" s="250" t="str">
        <f>D_T01!B38</f>
        <v>Area Weighted Fenestration U-Factor Value</v>
      </c>
      <c r="C39" s="105"/>
      <c r="D39" s="106" t="str">
        <f>IF(C39&gt;UA_T01!M27,IF(C39&lt;=UA_T01!M28,"Pass","Fail"),"Fail")</f>
        <v>Fail</v>
      </c>
      <c r="E39" s="302"/>
      <c r="H39" s="9">
        <f t="shared" si="1"/>
        <v>1</v>
      </c>
    </row>
    <row r="40" spans="1:8" thickBot="1" x14ac:dyDescent="0.35">
      <c r="B40" s="250" t="str">
        <f>D_T01!B39</f>
        <v>Area Weighted Fenestration SHGC Value</v>
      </c>
      <c r="C40" s="104"/>
      <c r="D40" s="106" t="str">
        <f>IF(C40&gt;UA_T01!Q27,IF(C40&lt;=UA_T01!Q28,"Pass","Fail"),"Fail")</f>
        <v>Fail</v>
      </c>
      <c r="E40" s="302"/>
      <c r="H40" s="9">
        <f t="shared" si="1"/>
        <v>1</v>
      </c>
    </row>
    <row r="41" spans="1:8" thickBot="1" x14ac:dyDescent="0.35">
      <c r="B41" s="250" t="str">
        <f>D_T01!B40</f>
        <v>Total Thermal Envelope UA Value</v>
      </c>
      <c r="C41" s="111" t="s">
        <v>63</v>
      </c>
      <c r="D41" s="106" t="str">
        <f>IF(C41="Complies","Not applicable",IF(C41="Not applicable","Not applicable","Fail"))</f>
        <v>Not applicable</v>
      </c>
      <c r="E41" s="302"/>
      <c r="H41" s="9">
        <f t="shared" si="1"/>
        <v>0</v>
      </c>
    </row>
    <row r="42" spans="1:8" thickBot="1" x14ac:dyDescent="0.35">
      <c r="B42" s="250" t="str">
        <f>D_T01!B41</f>
        <v>Area Weighted Fenestration U-Factor Result</v>
      </c>
      <c r="C42" s="104"/>
      <c r="D42" s="106" t="str">
        <f>IF(C42="Complies","Pass","Fail")</f>
        <v>Fail</v>
      </c>
      <c r="E42" s="6"/>
      <c r="H42" s="9">
        <f t="shared" si="1"/>
        <v>1</v>
      </c>
    </row>
    <row r="43" spans="1:8" thickBot="1" x14ac:dyDescent="0.35">
      <c r="B43" s="250" t="str">
        <f>D_T01!B42</f>
        <v>Area Weighted Fenestration SHGC Result</v>
      </c>
      <c r="C43" s="104"/>
      <c r="D43" s="106" t="str">
        <f>IF(C43="Complies","Pass","Fail")</f>
        <v>Fail</v>
      </c>
      <c r="E43" s="6"/>
      <c r="H43" s="9">
        <f t="shared" si="1"/>
        <v>1</v>
      </c>
    </row>
    <row r="44" spans="1:8" thickBot="1" x14ac:dyDescent="0.35">
      <c r="B44" s="250" t="str">
        <f>D_T01!B43</f>
        <v>Baseline Thermal Envelope UA Value</v>
      </c>
      <c r="C44" s="112" t="s">
        <v>63</v>
      </c>
      <c r="D44" s="106" t="str">
        <f>IF(C44="Complies","Not applicable",IF(C44="Not applicable","Not applicable","Fail"))</f>
        <v>Not applicable</v>
      </c>
      <c r="E44" s="6"/>
      <c r="H44" s="9">
        <f t="shared" si="1"/>
        <v>0</v>
      </c>
    </row>
    <row r="45" spans="1:8" thickBot="1" x14ac:dyDescent="0.35">
      <c r="B45" s="250" t="str">
        <f>D_T01!B44</f>
        <v>Total Thermal Envelope UA Result</v>
      </c>
      <c r="C45" s="112" t="s">
        <v>63</v>
      </c>
      <c r="D45" s="106" t="str">
        <f>IF(C45="Complies","Not applicable",IF(C45="Not applicable","Not applicable","Fail"))</f>
        <v>Not applicable</v>
      </c>
      <c r="H45" s="9">
        <f t="shared" si="1"/>
        <v>0</v>
      </c>
    </row>
    <row r="46" spans="1:8" thickBot="1" x14ac:dyDescent="0.35">
      <c r="B46" s="250" t="str">
        <f>D_T01!B45</f>
        <v>House Complies?</v>
      </c>
      <c r="C46" s="104"/>
      <c r="D46" s="106" t="str">
        <f>IF(C46="No","Pass","Fail")</f>
        <v>Fail</v>
      </c>
      <c r="H46" s="9">
        <f t="shared" si="1"/>
        <v>1</v>
      </c>
    </row>
    <row r="47" spans="1:8" ht="21.6" customHeight="1" x14ac:dyDescent="0.5">
      <c r="B47" s="19"/>
      <c r="C47" s="15" t="s">
        <v>94</v>
      </c>
      <c r="D47" s="16" t="str">
        <f>IF(H47&gt;0,"FAIL","PASS")</f>
        <v>FAIL</v>
      </c>
      <c r="H47" s="258">
        <f xml:space="preserve"> SUM(H11:H46)</f>
        <v>27</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07"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D_T01!B4</f>
        <v>House Pr-T01</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D_T01!B8</f>
        <v>Slab-on-grade Floor</v>
      </c>
      <c r="C58" s="107"/>
      <c r="D58" s="107"/>
      <c r="E58" s="104"/>
      <c r="F58" s="106" t="str">
        <f>IF(E58="Complies","Pass","Fail")</f>
        <v>Fail</v>
      </c>
      <c r="H58" s="9">
        <f>IF(OR(F58="Not applicable",F58="Software Doesn't Check",F58="Pass"),0,1)</f>
        <v>1</v>
      </c>
    </row>
    <row r="59" spans="1:8" ht="15" customHeight="1" thickBot="1" x14ac:dyDescent="0.35">
      <c r="B59" s="249" t="str">
        <f>D_T01!B9</f>
        <v>Roof – gable type- 5 in 12 slope No overhangs</v>
      </c>
      <c r="C59" s="107"/>
      <c r="D59" s="107"/>
      <c r="E59" s="104"/>
      <c r="F59" s="106" t="str">
        <f>IF(E59="Complies","Pass","Fail")</f>
        <v>Fail</v>
      </c>
      <c r="H59" s="9">
        <f t="shared" ref="H59:H93" si="3">IF(OR(F59="Not applicable",F59="Software Doesn't Check",F59="Pass"),0,1)</f>
        <v>1</v>
      </c>
    </row>
    <row r="60" spans="1:8" ht="15" customHeight="1" thickBot="1" x14ac:dyDescent="0.35">
      <c r="B60" s="249" t="str">
        <f>D_T01!B10</f>
        <v>Ceiling1 –flat under attic</v>
      </c>
      <c r="C60" s="104"/>
      <c r="D60" s="104"/>
      <c r="E60" s="104"/>
      <c r="F60" s="106" t="str">
        <f>IF(E60="Complies","Pass","Fail")</f>
        <v>Fail</v>
      </c>
      <c r="H60" s="9">
        <f t="shared" si="3"/>
        <v>1</v>
      </c>
    </row>
    <row r="61" spans="1:8" ht="15" customHeight="1" thickBot="1" x14ac:dyDescent="0.35">
      <c r="B61" s="249" t="str">
        <f>D_T01!B11</f>
        <v xml:space="preserve">        Skylight</v>
      </c>
      <c r="C61" s="107"/>
      <c r="D61" s="218">
        <f>D_T01!E11</f>
        <v>0.65</v>
      </c>
      <c r="E61" s="104"/>
      <c r="F61" s="106" t="str">
        <f>IF(E61="Complies","Pass","Fail")</f>
        <v>Fail</v>
      </c>
      <c r="H61" s="9">
        <f t="shared" si="3"/>
        <v>1</v>
      </c>
    </row>
    <row r="62" spans="1:8" ht="15" customHeight="1" thickBot="1" x14ac:dyDescent="0.35">
      <c r="B62" s="249" t="str">
        <f>D_T01!B12</f>
        <v>Wall 1 –faces North, CBS2</v>
      </c>
      <c r="C62" s="104"/>
      <c r="D62" s="104"/>
      <c r="E62" s="104"/>
      <c r="F62" s="106" t="str">
        <f>IF(E62="Complies","Pass","Fail")</f>
        <v>Fail</v>
      </c>
      <c r="H62" s="9">
        <f t="shared" si="3"/>
        <v>1</v>
      </c>
    </row>
    <row r="63" spans="1:8" ht="15" customHeight="1" thickBot="1" x14ac:dyDescent="0.35">
      <c r="B63" s="249" t="str">
        <f>D_T01!B13</f>
        <v xml:space="preserve">        Door 1 - </v>
      </c>
      <c r="C63" s="107"/>
      <c r="D63" s="407">
        <f>D_T01!E13</f>
        <v>0.4</v>
      </c>
      <c r="E63" s="111" t="s">
        <v>63</v>
      </c>
      <c r="F63" s="106" t="s">
        <v>63</v>
      </c>
      <c r="H63" s="9">
        <f t="shared" si="3"/>
        <v>0</v>
      </c>
    </row>
    <row r="64" spans="1:8" ht="15" customHeight="1" thickBot="1" x14ac:dyDescent="0.35">
      <c r="B64" s="249" t="str">
        <f>D_T01!B14</f>
        <v xml:space="preserve">        Window 1 – Vinyl Frame Low-e Double</v>
      </c>
      <c r="C64" s="107"/>
      <c r="D64" s="407">
        <f>D_T01!E14</f>
        <v>0.4</v>
      </c>
      <c r="E64" s="111" t="s">
        <v>63</v>
      </c>
      <c r="F64" s="106" t="s">
        <v>63</v>
      </c>
      <c r="H64" s="9">
        <f t="shared" si="3"/>
        <v>0</v>
      </c>
    </row>
    <row r="65" spans="2:8" ht="15" customHeight="1" thickBot="1" x14ac:dyDescent="0.35">
      <c r="B65" s="249" t="str">
        <f>D_T01!B15</f>
        <v>Wall 2 –faces East, CBS</v>
      </c>
      <c r="C65" s="104"/>
      <c r="D65" s="104"/>
      <c r="E65" s="104"/>
      <c r="F65" s="106" t="str">
        <f>IF(E65="Complies","Pass","Fail")</f>
        <v>Fail</v>
      </c>
      <c r="H65" s="9">
        <f t="shared" si="3"/>
        <v>1</v>
      </c>
    </row>
    <row r="66" spans="2:8" ht="15" customHeight="1" thickBot="1" x14ac:dyDescent="0.35">
      <c r="B66" s="249" t="str">
        <f>D_T01!B16</f>
        <v xml:space="preserve">        Window 2 – Vinyl Frame Low-e Double</v>
      </c>
      <c r="C66" s="107"/>
      <c r="D66" s="407">
        <f>D_T01!E16</f>
        <v>0.4</v>
      </c>
      <c r="E66" s="111" t="s">
        <v>63</v>
      </c>
      <c r="F66" s="106" t="s">
        <v>63</v>
      </c>
      <c r="H66" s="9">
        <f t="shared" si="3"/>
        <v>0</v>
      </c>
    </row>
    <row r="67" spans="2:8" ht="15" customHeight="1" thickBot="1" x14ac:dyDescent="0.35">
      <c r="B67" s="249" t="str">
        <f>D_T01!B17</f>
        <v>Wall 3 –faces South, CBS</v>
      </c>
      <c r="C67" s="104"/>
      <c r="D67" s="104"/>
      <c r="E67" s="104"/>
      <c r="F67" s="106" t="str">
        <f>IF(E67="Complies","Pass","Fail")</f>
        <v>Fail</v>
      </c>
      <c r="H67" s="9">
        <f t="shared" si="3"/>
        <v>1</v>
      </c>
    </row>
    <row r="68" spans="2:8" ht="15" customHeight="1" thickBot="1" x14ac:dyDescent="0.35">
      <c r="B68" s="249" t="str">
        <f>D_T01!B18</f>
        <v xml:space="preserve">        Window 3 – Vinyl Frame Low-e Double</v>
      </c>
      <c r="C68" s="107"/>
      <c r="D68" s="407">
        <f>D_T01!E18</f>
        <v>0.4</v>
      </c>
      <c r="E68" s="111" t="s">
        <v>63</v>
      </c>
      <c r="F68" s="106" t="s">
        <v>63</v>
      </c>
      <c r="H68" s="9">
        <f t="shared" si="3"/>
        <v>0</v>
      </c>
    </row>
    <row r="69" spans="2:8" ht="15" customHeight="1" thickBot="1" x14ac:dyDescent="0.35">
      <c r="B69" s="249" t="str">
        <f>D_T01!B19</f>
        <v>Wall 4 –faces South, Wood3 2x4 Stud</v>
      </c>
      <c r="C69" s="104"/>
      <c r="D69" s="104"/>
      <c r="E69" s="104"/>
      <c r="F69" s="106" t="str">
        <f>IF(E69="U-Factor too high","Pass","Fail")</f>
        <v>Fail</v>
      </c>
      <c r="H69" s="9">
        <f t="shared" si="3"/>
        <v>1</v>
      </c>
    </row>
    <row r="70" spans="2:8" ht="15" customHeight="1" thickBot="1" x14ac:dyDescent="0.35">
      <c r="B70" s="249" t="str">
        <f>D_T01!B20</f>
        <v xml:space="preserve">        Window 4 – Vinyl Frame  Low-e Double</v>
      </c>
      <c r="C70" s="107"/>
      <c r="D70" s="407">
        <f>D_T01!E20</f>
        <v>0.4</v>
      </c>
      <c r="E70" s="111" t="s">
        <v>63</v>
      </c>
      <c r="F70" s="106" t="s">
        <v>63</v>
      </c>
      <c r="H70" s="9">
        <f t="shared" si="3"/>
        <v>0</v>
      </c>
    </row>
    <row r="71" spans="2:8" ht="15" customHeight="1" thickBot="1" x14ac:dyDescent="0.35">
      <c r="B71" s="249" t="str">
        <f>D_T01!B21</f>
        <v>Wall 5 –faces West, CBS</v>
      </c>
      <c r="C71" s="104"/>
      <c r="D71" s="104"/>
      <c r="E71" s="104"/>
      <c r="F71" s="106" t="str">
        <f>IF(E71="Complies","Pass","Fail")</f>
        <v>Fail</v>
      </c>
      <c r="H71" s="9">
        <f t="shared" si="3"/>
        <v>1</v>
      </c>
    </row>
    <row r="72" spans="2:8" ht="15" customHeight="1" thickBot="1" x14ac:dyDescent="0.35">
      <c r="B72" s="249" t="str">
        <f>D_T01!B22</f>
        <v xml:space="preserve">        Window 5 – Vinyl Frame Low-e Double</v>
      </c>
      <c r="C72" s="107"/>
      <c r="D72" s="407">
        <f>D_T01!E22</f>
        <v>0.4</v>
      </c>
      <c r="E72" s="111" t="s">
        <v>63</v>
      </c>
      <c r="F72" s="106" t="s">
        <v>63</v>
      </c>
      <c r="H72" s="9">
        <f t="shared" si="3"/>
        <v>0</v>
      </c>
    </row>
    <row r="73" spans="2:8" ht="15" customHeight="1" thickBot="1" x14ac:dyDescent="0.35">
      <c r="B73" s="249" t="str">
        <f>D_T01!B23</f>
        <v>Infiltration</v>
      </c>
      <c r="C73" s="107"/>
      <c r="D73" s="107"/>
      <c r="E73" s="113"/>
      <c r="F73" s="106" t="str">
        <f>IF(E73="Complies","Pass",IF(E73="Not part of software","Software Doesn't Check","Fail"))</f>
        <v>Fail</v>
      </c>
      <c r="H73" s="9">
        <f t="shared" si="3"/>
        <v>1</v>
      </c>
    </row>
    <row r="74" spans="2:8" ht="15" customHeight="1" thickBot="1" x14ac:dyDescent="0.35">
      <c r="B74" s="249" t="str">
        <f>D_T01!B24</f>
        <v>Heating – heat pump</v>
      </c>
      <c r="C74" s="107"/>
      <c r="D74" s="107"/>
      <c r="E74" s="114"/>
      <c r="F74" s="106" t="str">
        <f>IF(E74="Complies","Pass",IF(E74="Not part of software","Software Doesn't Check","Fail"))</f>
        <v>Fail</v>
      </c>
      <c r="H74" s="9">
        <f t="shared" si="3"/>
        <v>1</v>
      </c>
    </row>
    <row r="75" spans="2:8" ht="15" customHeight="1" thickBot="1" x14ac:dyDescent="0.35">
      <c r="B75" s="249" t="str">
        <f>D_T01!B25</f>
        <v>Cooling – heat pump</v>
      </c>
      <c r="C75" s="107"/>
      <c r="D75" s="107"/>
      <c r="E75" s="113"/>
      <c r="F75" s="106" t="str">
        <f>IF(E75="Complies","Pass",IF(E75="Not part of software","Software Doesn't Check","Fail"))</f>
        <v>Fail</v>
      </c>
      <c r="H75" s="9">
        <f t="shared" si="3"/>
        <v>1</v>
      </c>
    </row>
    <row r="76" spans="2:8" ht="15" customHeight="1" thickBot="1" x14ac:dyDescent="0.35">
      <c r="B76" s="249" t="str">
        <f>D_T01!B26</f>
        <v>Ducts – supply in attic</v>
      </c>
      <c r="C76" s="107"/>
      <c r="D76" s="107"/>
      <c r="E76" s="113"/>
      <c r="F76" s="106" t="str">
        <f>IF(E76="R-Value too low","Pass",IF(E76="Not part of software","Software Doesn't Check","Fail"))</f>
        <v>Fail</v>
      </c>
      <c r="H76" s="9">
        <f t="shared" si="3"/>
        <v>1</v>
      </c>
    </row>
    <row r="77" spans="2:8" ht="15" customHeight="1" thickBot="1" x14ac:dyDescent="0.35">
      <c r="B77" s="249" t="str">
        <f>D_T01!B27</f>
        <v>Ducts – Return in Conditioned Space</v>
      </c>
      <c r="C77" s="107"/>
      <c r="D77" s="107"/>
      <c r="E77" s="113"/>
      <c r="F77" s="106" t="str">
        <f t="shared" ref="F77:F85" si="4">IF(E77="Complies","Pass",IF(E77="Not part of software","Software Doesn't Check","Fail"))</f>
        <v>Fail</v>
      </c>
      <c r="H77" s="9">
        <f t="shared" si="3"/>
        <v>1</v>
      </c>
    </row>
    <row r="78" spans="2:8" ht="15" customHeight="1" thickBot="1" x14ac:dyDescent="0.35">
      <c r="B78" s="249" t="str">
        <f>D_T01!B28</f>
        <v>Duct Tightness</v>
      </c>
      <c r="C78" s="107"/>
      <c r="D78" s="107"/>
      <c r="E78" s="113"/>
      <c r="F78" s="106" t="str">
        <f t="shared" si="4"/>
        <v>Fail</v>
      </c>
      <c r="H78" s="9">
        <f t="shared" si="3"/>
        <v>1</v>
      </c>
    </row>
    <row r="79" spans="2:8" ht="15" customHeight="1" thickBot="1" x14ac:dyDescent="0.35">
      <c r="B79" s="249" t="str">
        <f>D_T01!B29</f>
        <v>Air Handler – in Conditioned Space</v>
      </c>
      <c r="C79" s="107"/>
      <c r="D79" s="107"/>
      <c r="E79" s="113"/>
      <c r="F79" s="106" t="str">
        <f t="shared" si="4"/>
        <v>Fail</v>
      </c>
      <c r="H79" s="9">
        <f t="shared" si="3"/>
        <v>1</v>
      </c>
    </row>
    <row r="80" spans="2:8" ht="15" customHeight="1" thickBot="1" x14ac:dyDescent="0.35">
      <c r="B80" s="249" t="str">
        <f>D_T01!B30</f>
        <v>Mechanical Ventilation</v>
      </c>
      <c r="C80" s="107"/>
      <c r="D80" s="107"/>
      <c r="E80" s="104"/>
      <c r="F80" s="106" t="str">
        <f t="shared" si="4"/>
        <v>Fail</v>
      </c>
      <c r="H80" s="9">
        <f t="shared" si="3"/>
        <v>1</v>
      </c>
    </row>
    <row r="81" spans="1:8" ht="15" customHeight="1" thickBot="1" x14ac:dyDescent="0.35">
      <c r="B81" s="249" t="str">
        <f>D_T01!B31</f>
        <v>Hot Water System - electric</v>
      </c>
      <c r="C81" s="107"/>
      <c r="D81" s="107"/>
      <c r="E81" s="113"/>
      <c r="F81" s="106" t="str">
        <f t="shared" si="4"/>
        <v>Fail</v>
      </c>
      <c r="H81" s="9">
        <f t="shared" si="3"/>
        <v>1</v>
      </c>
    </row>
    <row r="82" spans="1:8" ht="15" customHeight="1" thickBot="1" x14ac:dyDescent="0.35">
      <c r="B82" s="249" t="str">
        <f>D_T01!B32</f>
        <v>All Hot Water Lines</v>
      </c>
      <c r="C82" s="107"/>
      <c r="D82" s="107"/>
      <c r="E82" s="113"/>
      <c r="F82" s="106" t="str">
        <f t="shared" si="4"/>
        <v>Fail</v>
      </c>
      <c r="H82" s="9">
        <f t="shared" si="3"/>
        <v>1</v>
      </c>
    </row>
    <row r="83" spans="1:8" ht="15" customHeight="1" thickBot="1" x14ac:dyDescent="0.35">
      <c r="B83" s="249" t="str">
        <f>D_T01!B33</f>
        <v>Hot Water Circulation -none</v>
      </c>
      <c r="C83" s="107"/>
      <c r="D83" s="107"/>
      <c r="E83" s="113"/>
      <c r="F83" s="106" t="str">
        <f t="shared" si="4"/>
        <v>Fail</v>
      </c>
      <c r="H83" s="9">
        <f t="shared" si="3"/>
        <v>1</v>
      </c>
    </row>
    <row r="84" spans="1:8" ht="15" customHeight="1" thickBot="1" x14ac:dyDescent="0.35">
      <c r="B84" s="249" t="str">
        <f>D_T01!B34</f>
        <v>Lighting</v>
      </c>
      <c r="C84" s="107"/>
      <c r="D84" s="107"/>
      <c r="E84" s="113"/>
      <c r="F84" s="106" t="str">
        <f t="shared" si="4"/>
        <v>Fail</v>
      </c>
      <c r="H84" s="9">
        <f t="shared" si="3"/>
        <v>1</v>
      </c>
    </row>
    <row r="85" spans="1:8" ht="15" customHeight="1" thickBot="1" x14ac:dyDescent="0.35">
      <c r="B85" s="249" t="str">
        <f>D_T01!B35</f>
        <v>Pool and Spa - none</v>
      </c>
      <c r="C85" s="107"/>
      <c r="D85" s="107"/>
      <c r="E85" s="113"/>
      <c r="F85" s="106" t="str">
        <f t="shared" si="4"/>
        <v>Fail</v>
      </c>
      <c r="H85" s="9">
        <f t="shared" si="3"/>
        <v>1</v>
      </c>
    </row>
    <row r="86" spans="1:8" ht="15" customHeight="1" thickBot="1" x14ac:dyDescent="0.35">
      <c r="B86" s="250" t="str">
        <f>D_T01!B38</f>
        <v>Area Weighted Fenestration U-Factor Value</v>
      </c>
      <c r="C86" s="107"/>
      <c r="D86" s="107"/>
      <c r="E86" s="105"/>
      <c r="F86" s="106" t="str">
        <f>IF(E86&gt;UA_T01!O27,IF(E86&lt;=UA_T01!O28,"Pass","Fail"),"Fail")</f>
        <v>Fail</v>
      </c>
      <c r="H86" s="9">
        <f t="shared" si="3"/>
        <v>1</v>
      </c>
    </row>
    <row r="87" spans="1:8" ht="15" customHeight="1" thickBot="1" x14ac:dyDescent="0.35">
      <c r="B87" s="250" t="str">
        <f>D_T01!B39</f>
        <v>Area Weighted Fenestration SHGC Value</v>
      </c>
      <c r="C87" s="107"/>
      <c r="D87" s="107"/>
      <c r="E87" s="104"/>
      <c r="F87" s="106" t="str">
        <f>IF(E87&gt;UA_T01!S27,IF(E87&lt;=UA_T01!S28,"Pass","Fail"),"Fail")</f>
        <v>Fail</v>
      </c>
      <c r="H87" s="9">
        <f t="shared" si="3"/>
        <v>1</v>
      </c>
    </row>
    <row r="88" spans="1:8" ht="15" customHeight="1" thickBot="1" x14ac:dyDescent="0.35">
      <c r="B88" s="250" t="str">
        <f>D_T01!B40</f>
        <v>Total Thermal Envelope UA Value</v>
      </c>
      <c r="C88" s="107"/>
      <c r="D88" s="107"/>
      <c r="E88" s="111" t="s">
        <v>63</v>
      </c>
      <c r="F88" s="106" t="s">
        <v>63</v>
      </c>
      <c r="H88" s="9">
        <f t="shared" si="3"/>
        <v>0</v>
      </c>
    </row>
    <row r="89" spans="1:8" ht="15" customHeight="1" thickBot="1" x14ac:dyDescent="0.35">
      <c r="B89" s="250" t="str">
        <f>D_T01!B41</f>
        <v>Area Weighted Fenestration U-Factor Result</v>
      </c>
      <c r="C89" s="107"/>
      <c r="D89" s="111"/>
      <c r="E89" s="104"/>
      <c r="F89" s="106" t="str">
        <f>IF(E89="Average U too high","Pass","Fail")</f>
        <v>Fail</v>
      </c>
      <c r="H89" s="9">
        <f t="shared" si="3"/>
        <v>1</v>
      </c>
    </row>
    <row r="90" spans="1:8" ht="15" customHeight="1" thickBot="1" x14ac:dyDescent="0.35">
      <c r="B90" s="250" t="str">
        <f>D_T01!B42</f>
        <v>Area Weighted Fenestration SHGC Result</v>
      </c>
      <c r="C90" s="107"/>
      <c r="D90" s="111"/>
      <c r="E90" s="104"/>
      <c r="F90" s="106" t="str">
        <f>IF(E90="Complies","Pass","Fail")</f>
        <v>Fail</v>
      </c>
      <c r="H90" s="9">
        <f t="shared" si="3"/>
        <v>1</v>
      </c>
    </row>
    <row r="91" spans="1:8" ht="15" customHeight="1" thickBot="1" x14ac:dyDescent="0.35">
      <c r="B91" s="250" t="str">
        <f>D_T01!B43</f>
        <v>Baseline Thermal Envelope UA Value</v>
      </c>
      <c r="C91" s="107"/>
      <c r="D91" s="111"/>
      <c r="E91" s="111" t="s">
        <v>63</v>
      </c>
      <c r="F91" s="106" t="s">
        <v>63</v>
      </c>
      <c r="H91" s="9">
        <f t="shared" si="3"/>
        <v>0</v>
      </c>
    </row>
    <row r="92" spans="1:8" ht="15" customHeight="1" thickBot="1" x14ac:dyDescent="0.35">
      <c r="B92" s="250" t="str">
        <f>D_T01!B44</f>
        <v>Total Thermal Envelope UA Result</v>
      </c>
      <c r="C92" s="107"/>
      <c r="D92" s="111"/>
      <c r="E92" s="111" t="s">
        <v>63</v>
      </c>
      <c r="F92" s="106" t="s">
        <v>63</v>
      </c>
      <c r="H92" s="9">
        <f t="shared" si="3"/>
        <v>0</v>
      </c>
    </row>
    <row r="93" spans="1:8" ht="15" customHeight="1" thickBot="1" x14ac:dyDescent="0.35">
      <c r="B93" s="250" t="str">
        <f>D_T01!B45</f>
        <v>House Complies?</v>
      </c>
      <c r="C93" s="107"/>
      <c r="D93" s="111"/>
      <c r="E93" s="104"/>
      <c r="F93" s="106" t="str">
        <f>IF(E93="No","Pass","Fail")</f>
        <v>Fail</v>
      </c>
      <c r="H93" s="9">
        <f t="shared" si="3"/>
        <v>1</v>
      </c>
    </row>
    <row r="94" spans="1:8" ht="21" customHeight="1" x14ac:dyDescent="0.5">
      <c r="B94" s="19"/>
      <c r="E94" s="24" t="s">
        <v>85</v>
      </c>
      <c r="F94" s="16" t="str">
        <f>IF(H94&gt;0,"FAIL","PASS")</f>
        <v>FAIL</v>
      </c>
      <c r="H94" s="258">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260"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D_T01!B4</f>
        <v>House Pr-T01</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D_T01!B8</f>
        <v>Slab-on-grade Floor</v>
      </c>
      <c r="C105" s="107"/>
      <c r="D105" s="107"/>
      <c r="E105" s="111" t="s">
        <v>63</v>
      </c>
      <c r="F105" s="467" t="s">
        <v>63</v>
      </c>
      <c r="H105" s="9">
        <f t="shared" ref="H105:H140" si="5">IF(OR(F105="Not applicable",F105="Software Doesn't Check",F105="Pass"),0,1)</f>
        <v>0</v>
      </c>
    </row>
    <row r="106" spans="1:8" ht="15.75" thickBot="1" x14ac:dyDescent="0.3">
      <c r="B106" s="249" t="str">
        <f>D_T01!B9</f>
        <v>Roof – gable type- 5 in 12 slope No overhangs</v>
      </c>
      <c r="C106" s="107"/>
      <c r="D106" s="107"/>
      <c r="E106" s="111" t="s">
        <v>63</v>
      </c>
      <c r="F106" s="467" t="s">
        <v>63</v>
      </c>
      <c r="H106" s="9">
        <f t="shared" si="5"/>
        <v>0</v>
      </c>
    </row>
    <row r="107" spans="1:8" ht="15.75" thickBot="1" x14ac:dyDescent="0.3">
      <c r="B107" s="249" t="str">
        <f>D_T01!B10</f>
        <v>Ceiling1 –flat under attic</v>
      </c>
      <c r="C107" s="104"/>
      <c r="D107" s="104"/>
      <c r="E107" s="111" t="s">
        <v>63</v>
      </c>
      <c r="F107" s="467" t="s">
        <v>63</v>
      </c>
      <c r="H107" s="9">
        <f t="shared" si="5"/>
        <v>0</v>
      </c>
    </row>
    <row r="108" spans="1:8" thickBot="1" x14ac:dyDescent="0.35">
      <c r="B108" s="249" t="str">
        <f>D_T01!B11</f>
        <v xml:space="preserve">        Skylight</v>
      </c>
      <c r="C108" s="111"/>
      <c r="D108" s="219">
        <f>D_T01!E11</f>
        <v>0.65</v>
      </c>
      <c r="E108" s="104"/>
      <c r="F108" s="467" t="str">
        <f>IF(E108="Complies","Pass","Fail")</f>
        <v>Fail</v>
      </c>
      <c r="H108" s="9">
        <f t="shared" si="5"/>
        <v>1</v>
      </c>
    </row>
    <row r="109" spans="1:8" ht="15.75" thickBot="1" x14ac:dyDescent="0.3">
      <c r="B109" s="249" t="str">
        <f>D_T01!B12</f>
        <v>Wall 1 –faces North, CBS2</v>
      </c>
      <c r="C109" s="104"/>
      <c r="D109" s="104"/>
      <c r="E109" s="111" t="s">
        <v>63</v>
      </c>
      <c r="F109" s="467" t="s">
        <v>63</v>
      </c>
      <c r="H109" s="9">
        <f t="shared" si="5"/>
        <v>0</v>
      </c>
    </row>
    <row r="110" spans="1:8" thickBot="1" x14ac:dyDescent="0.35">
      <c r="B110" s="249" t="str">
        <f>D_T01!B13</f>
        <v xml:space="preserve">        Door 1 - </v>
      </c>
      <c r="C110" s="111"/>
      <c r="D110" s="408">
        <f>D_T01!E13</f>
        <v>0.4</v>
      </c>
      <c r="E110" s="111" t="s">
        <v>63</v>
      </c>
      <c r="F110" s="467" t="s">
        <v>63</v>
      </c>
      <c r="H110" s="9">
        <f t="shared" si="5"/>
        <v>0</v>
      </c>
    </row>
    <row r="111" spans="1:8" ht="15.75" thickBot="1" x14ac:dyDescent="0.3">
      <c r="B111" s="249" t="str">
        <f>D_T01!B14</f>
        <v xml:space="preserve">        Window 1 – Vinyl Frame Low-e Double</v>
      </c>
      <c r="C111" s="111"/>
      <c r="D111" s="408">
        <f>D_T01!E14</f>
        <v>0.4</v>
      </c>
      <c r="E111" s="111" t="s">
        <v>63</v>
      </c>
      <c r="F111" s="467" t="s">
        <v>63</v>
      </c>
      <c r="H111" s="9">
        <f t="shared" si="5"/>
        <v>0</v>
      </c>
    </row>
    <row r="112" spans="1:8" ht="15.75" thickBot="1" x14ac:dyDescent="0.3">
      <c r="B112" s="249" t="str">
        <f>D_T01!B15</f>
        <v>Wall 2 –faces East, CBS</v>
      </c>
      <c r="C112" s="104"/>
      <c r="D112" s="104"/>
      <c r="E112" s="111" t="s">
        <v>63</v>
      </c>
      <c r="F112" s="467" t="s">
        <v>63</v>
      </c>
      <c r="H112" s="9">
        <f t="shared" si="5"/>
        <v>0</v>
      </c>
    </row>
    <row r="113" spans="2:8" ht="15.75" thickBot="1" x14ac:dyDescent="0.3">
      <c r="B113" s="249" t="str">
        <f>D_T01!B16</f>
        <v xml:space="preserve">        Window 2 – Vinyl Frame Low-e Double</v>
      </c>
      <c r="C113" s="111"/>
      <c r="D113" s="408">
        <f>D_T01!E16</f>
        <v>0.4</v>
      </c>
      <c r="E113" s="111" t="s">
        <v>63</v>
      </c>
      <c r="F113" s="467" t="s">
        <v>63</v>
      </c>
      <c r="H113" s="9">
        <f t="shared" si="5"/>
        <v>0</v>
      </c>
    </row>
    <row r="114" spans="2:8" ht="15.75" thickBot="1" x14ac:dyDescent="0.3">
      <c r="B114" s="249" t="str">
        <f>D_T01!B17</f>
        <v>Wall 3 –faces South, CBS</v>
      </c>
      <c r="C114" s="104"/>
      <c r="D114" s="104"/>
      <c r="E114" s="111" t="s">
        <v>63</v>
      </c>
      <c r="F114" s="467" t="s">
        <v>63</v>
      </c>
      <c r="H114" s="9">
        <f t="shared" si="5"/>
        <v>0</v>
      </c>
    </row>
    <row r="115" spans="2:8" ht="15.75" thickBot="1" x14ac:dyDescent="0.3">
      <c r="B115" s="249" t="str">
        <f>D_T01!B18</f>
        <v xml:space="preserve">        Window 3 – Vinyl Frame Low-e Double</v>
      </c>
      <c r="C115" s="111"/>
      <c r="D115" s="408">
        <f>D_T01!E18</f>
        <v>0.4</v>
      </c>
      <c r="E115" s="111" t="s">
        <v>63</v>
      </c>
      <c r="F115" s="467" t="s">
        <v>63</v>
      </c>
      <c r="H115" s="9">
        <f t="shared" si="5"/>
        <v>0</v>
      </c>
    </row>
    <row r="116" spans="2:8" ht="15.75" thickBot="1" x14ac:dyDescent="0.3">
      <c r="B116" s="249" t="str">
        <f>D_T01!B19</f>
        <v>Wall 4 –faces South, Wood3 2x4 Stud</v>
      </c>
      <c r="C116" s="104"/>
      <c r="D116" s="104"/>
      <c r="E116" s="111" t="s">
        <v>63</v>
      </c>
      <c r="F116" s="467" t="s">
        <v>63</v>
      </c>
      <c r="H116" s="9">
        <f t="shared" si="5"/>
        <v>0</v>
      </c>
    </row>
    <row r="117" spans="2:8" ht="15.75" thickBot="1" x14ac:dyDescent="0.3">
      <c r="B117" s="249" t="str">
        <f>D_T01!B20</f>
        <v xml:space="preserve">        Window 4 – Vinyl Frame  Low-e Double</v>
      </c>
      <c r="C117" s="111"/>
      <c r="D117" s="408">
        <f>D_T01!E20</f>
        <v>0.4</v>
      </c>
      <c r="E117" s="111" t="s">
        <v>63</v>
      </c>
      <c r="F117" s="467" t="s">
        <v>63</v>
      </c>
      <c r="H117" s="9">
        <f t="shared" si="5"/>
        <v>0</v>
      </c>
    </row>
    <row r="118" spans="2:8" ht="15.75" thickBot="1" x14ac:dyDescent="0.3">
      <c r="B118" s="249" t="str">
        <f>D_T01!B21</f>
        <v>Wall 5 –faces West, CBS</v>
      </c>
      <c r="C118" s="104"/>
      <c r="D118" s="104"/>
      <c r="E118" s="111" t="s">
        <v>63</v>
      </c>
      <c r="F118" s="467" t="s">
        <v>63</v>
      </c>
      <c r="H118" s="9">
        <f t="shared" si="5"/>
        <v>0</v>
      </c>
    </row>
    <row r="119" spans="2:8" ht="15.75" thickBot="1" x14ac:dyDescent="0.3">
      <c r="B119" s="249" t="str">
        <f>D_T01!B22</f>
        <v xml:space="preserve">        Window 5 – Vinyl Frame Low-e Double</v>
      </c>
      <c r="C119" s="107"/>
      <c r="D119" s="407">
        <f>D_T01!E22</f>
        <v>0.4</v>
      </c>
      <c r="E119" s="111" t="s">
        <v>63</v>
      </c>
      <c r="F119" s="467" t="s">
        <v>63</v>
      </c>
      <c r="H119" s="9">
        <f t="shared" si="5"/>
        <v>0</v>
      </c>
    </row>
    <row r="120" spans="2:8" thickBot="1" x14ac:dyDescent="0.35">
      <c r="B120" s="249" t="str">
        <f>D_T01!B23</f>
        <v>Infiltration</v>
      </c>
      <c r="C120" s="107"/>
      <c r="D120" s="107"/>
      <c r="E120" s="113"/>
      <c r="F120" s="106" t="str">
        <f>IF(E120="Complies","Pass",IF(E120="Not part of software","Software Doesn't Check","Fail"))</f>
        <v>Fail</v>
      </c>
      <c r="H120" s="9">
        <f t="shared" si="5"/>
        <v>1</v>
      </c>
    </row>
    <row r="121" spans="2:8" ht="15.75" thickBot="1" x14ac:dyDescent="0.3">
      <c r="B121" s="249" t="str">
        <f>D_T01!B24</f>
        <v>Heating – heat pump</v>
      </c>
      <c r="C121" s="107"/>
      <c r="D121" s="107"/>
      <c r="E121" s="114"/>
      <c r="F121" s="106" t="str">
        <f>IF(E121="Complies","Pass",IF(E121="Not part of software","Software Doesn't Check","Fail"))</f>
        <v>Fail</v>
      </c>
      <c r="H121" s="9">
        <f t="shared" si="5"/>
        <v>1</v>
      </c>
    </row>
    <row r="122" spans="2:8" ht="15.75" thickBot="1" x14ac:dyDescent="0.3">
      <c r="B122" s="249" t="str">
        <f>D_T01!B25</f>
        <v>Cooling – heat pump</v>
      </c>
      <c r="C122" s="107"/>
      <c r="D122" s="107"/>
      <c r="E122" s="113"/>
      <c r="F122" s="106" t="str">
        <f>IF(E122="Complies","Pass",IF(E122="Not part of software","Software Doesn't Check","Fail"))</f>
        <v>Fail</v>
      </c>
      <c r="H122" s="9">
        <f t="shared" si="5"/>
        <v>1</v>
      </c>
    </row>
    <row r="123" spans="2:8" ht="15.75" thickBot="1" x14ac:dyDescent="0.3">
      <c r="B123" s="249" t="str">
        <f>D_T01!B26</f>
        <v>Ducts – supply in attic</v>
      </c>
      <c r="C123" s="107"/>
      <c r="D123" s="107"/>
      <c r="E123" s="113"/>
      <c r="F123" s="106" t="str">
        <f>IF(E123="R-Value too low","Pass",IF(E123="Not part of software","Software Doesn't Check","Fail"))</f>
        <v>Fail</v>
      </c>
      <c r="H123" s="9">
        <f t="shared" si="5"/>
        <v>1</v>
      </c>
    </row>
    <row r="124" spans="2:8" ht="15.75" thickBot="1" x14ac:dyDescent="0.3">
      <c r="B124" s="249" t="str">
        <f>D_T01!B27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D_T01!B28</f>
        <v>Duct Tightness</v>
      </c>
      <c r="C125" s="107"/>
      <c r="D125" s="107"/>
      <c r="E125" s="113"/>
      <c r="F125" s="106" t="str">
        <f t="shared" si="6"/>
        <v>Fail</v>
      </c>
      <c r="H125" s="9">
        <f t="shared" si="5"/>
        <v>1</v>
      </c>
    </row>
    <row r="126" spans="2:8" ht="15.75" thickBot="1" x14ac:dyDescent="0.3">
      <c r="B126" s="249" t="str">
        <f>D_T01!B29</f>
        <v>Air Handler – in Conditioned Space</v>
      </c>
      <c r="C126" s="107"/>
      <c r="D126" s="107"/>
      <c r="E126" s="113"/>
      <c r="F126" s="106" t="str">
        <f t="shared" si="6"/>
        <v>Fail</v>
      </c>
      <c r="H126" s="9">
        <f t="shared" si="5"/>
        <v>1</v>
      </c>
    </row>
    <row r="127" spans="2:8" thickBot="1" x14ac:dyDescent="0.35">
      <c r="B127" s="249" t="str">
        <f>D_T01!B30</f>
        <v>Mechanical Ventilation</v>
      </c>
      <c r="C127" s="107"/>
      <c r="D127" s="107"/>
      <c r="E127" s="104"/>
      <c r="F127" s="106" t="str">
        <f t="shared" si="6"/>
        <v>Fail</v>
      </c>
      <c r="H127" s="9">
        <f t="shared" si="5"/>
        <v>1</v>
      </c>
    </row>
    <row r="128" spans="2:8" thickBot="1" x14ac:dyDescent="0.35">
      <c r="B128" s="249" t="str">
        <f>D_T01!B31</f>
        <v>Hot Water System - electric</v>
      </c>
      <c r="C128" s="107"/>
      <c r="D128" s="107"/>
      <c r="E128" s="113"/>
      <c r="F128" s="106" t="str">
        <f t="shared" si="6"/>
        <v>Fail</v>
      </c>
      <c r="H128" s="9">
        <f t="shared" si="5"/>
        <v>1</v>
      </c>
    </row>
    <row r="129" spans="1:8" thickBot="1" x14ac:dyDescent="0.35">
      <c r="B129" s="249" t="str">
        <f>D_T01!B32</f>
        <v>All Hot Water Lines</v>
      </c>
      <c r="C129" s="107"/>
      <c r="D129" s="107"/>
      <c r="E129" s="113"/>
      <c r="F129" s="106" t="str">
        <f t="shared" si="6"/>
        <v>Fail</v>
      </c>
      <c r="H129" s="9">
        <f t="shared" si="5"/>
        <v>1</v>
      </c>
    </row>
    <row r="130" spans="1:8" thickBot="1" x14ac:dyDescent="0.35">
      <c r="B130" s="249" t="str">
        <f>D_T01!B33</f>
        <v>Hot Water Circulation -none</v>
      </c>
      <c r="C130" s="107"/>
      <c r="D130" s="107"/>
      <c r="E130" s="113"/>
      <c r="F130" s="106" t="str">
        <f t="shared" si="6"/>
        <v>Fail</v>
      </c>
      <c r="H130" s="9">
        <f t="shared" si="5"/>
        <v>1</v>
      </c>
    </row>
    <row r="131" spans="1:8" thickBot="1" x14ac:dyDescent="0.35">
      <c r="B131" s="249" t="str">
        <f>D_T01!B34</f>
        <v>Lighting</v>
      </c>
      <c r="C131" s="107"/>
      <c r="D131" s="107"/>
      <c r="E131" s="113"/>
      <c r="F131" s="106" t="str">
        <f t="shared" si="6"/>
        <v>Fail</v>
      </c>
      <c r="H131" s="9">
        <f t="shared" si="5"/>
        <v>1</v>
      </c>
    </row>
    <row r="132" spans="1:8" thickBot="1" x14ac:dyDescent="0.35">
      <c r="B132" s="249" t="str">
        <f>D_T01!B35</f>
        <v>Pool and Spa - none</v>
      </c>
      <c r="C132" s="107"/>
      <c r="D132" s="107"/>
      <c r="E132" s="113"/>
      <c r="F132" s="106" t="str">
        <f t="shared" si="6"/>
        <v>Fail</v>
      </c>
      <c r="H132" s="9">
        <f t="shared" si="5"/>
        <v>1</v>
      </c>
    </row>
    <row r="133" spans="1:8" thickBot="1" x14ac:dyDescent="0.35">
      <c r="B133" s="250" t="str">
        <f>D_T01!B38</f>
        <v>Area Weighted Fenestration U-Factor Value</v>
      </c>
      <c r="C133" s="107"/>
      <c r="D133" s="107"/>
      <c r="E133" s="111"/>
      <c r="F133" s="106" t="s">
        <v>63</v>
      </c>
      <c r="H133" s="9">
        <f t="shared" si="5"/>
        <v>0</v>
      </c>
    </row>
    <row r="134" spans="1:8" thickBot="1" x14ac:dyDescent="0.35">
      <c r="B134" s="250" t="str">
        <f>D_T01!B39</f>
        <v>Area Weighted Fenestration SHGC Value</v>
      </c>
      <c r="C134" s="107"/>
      <c r="D134" s="107"/>
      <c r="E134" s="104"/>
      <c r="F134" s="106" t="str">
        <f>IF(E134&gt;UA_T01!S27,IF(E134&lt;=UA_T01!S28,"Pass","Fail"),"Fail")</f>
        <v>Fail</v>
      </c>
      <c r="H134" s="9">
        <f t="shared" si="5"/>
        <v>1</v>
      </c>
    </row>
    <row r="135" spans="1:8" thickBot="1" x14ac:dyDescent="0.35">
      <c r="B135" s="250" t="str">
        <f>D_T01!B40</f>
        <v>Total Thermal Envelope UA Value</v>
      </c>
      <c r="C135" s="107"/>
      <c r="D135" s="107"/>
      <c r="E135" s="104"/>
      <c r="F135" s="106" t="str">
        <f>IF(E135&gt;=UA_T01!H27,IF(E135&lt;=UA_T01!H28,"Pass","Fail"),"Fail")</f>
        <v>Fail</v>
      </c>
      <c r="H135" s="9">
        <f t="shared" si="5"/>
        <v>1</v>
      </c>
    </row>
    <row r="136" spans="1:8" thickBot="1" x14ac:dyDescent="0.35">
      <c r="B136" s="250" t="str">
        <f>D_T01!B41</f>
        <v>Area Weighted Fenestration U-Factor Result</v>
      </c>
      <c r="C136" s="107"/>
      <c r="D136" s="107"/>
      <c r="E136" s="111"/>
      <c r="F136" s="106" t="s">
        <v>63</v>
      </c>
      <c r="H136" s="9">
        <f t="shared" si="5"/>
        <v>0</v>
      </c>
    </row>
    <row r="137" spans="1:8" thickBot="1" x14ac:dyDescent="0.35">
      <c r="B137" s="250" t="str">
        <f>D_T01!B42</f>
        <v>Area Weighted Fenestration SHGC Result</v>
      </c>
      <c r="C137" s="107"/>
      <c r="D137" s="107"/>
      <c r="E137" s="104"/>
      <c r="F137" s="106" t="str">
        <f>IF(E137="Complies","Pass","Fail")</f>
        <v>Fail</v>
      </c>
      <c r="H137" s="9">
        <f t="shared" si="5"/>
        <v>1</v>
      </c>
    </row>
    <row r="138" spans="1:8" ht="18" customHeight="1" thickBot="1" x14ac:dyDescent="0.35">
      <c r="B138" s="250" t="str">
        <f>D_T01!B43</f>
        <v>Baseline Thermal Envelope UA Value</v>
      </c>
      <c r="C138" s="107"/>
      <c r="D138" s="107"/>
      <c r="E138" s="104"/>
      <c r="F138" s="106" t="str">
        <f>IF(E138&gt;=UA_T01!J27,IF(E138&lt;=UA_T01!J28,"Pass","Fail"),"Fail")</f>
        <v>Fail</v>
      </c>
      <c r="H138" s="9">
        <f t="shared" si="5"/>
        <v>1</v>
      </c>
    </row>
    <row r="139" spans="1:8" thickBot="1" x14ac:dyDescent="0.35">
      <c r="B139" s="250" t="str">
        <f>D_T01!B44</f>
        <v>Total Thermal Envelope UA Result</v>
      </c>
      <c r="C139" s="107"/>
      <c r="D139" s="107"/>
      <c r="E139" s="104"/>
      <c r="F139" s="106" t="str">
        <f>IF(E139="Complies","Pass","Fail")</f>
        <v>Fail</v>
      </c>
      <c r="H139" s="9">
        <f t="shared" si="5"/>
        <v>1</v>
      </c>
    </row>
    <row r="140" spans="1:8" thickBot="1" x14ac:dyDescent="0.35">
      <c r="B140" s="250" t="str">
        <f>D_T01!B45</f>
        <v>House Complies?</v>
      </c>
      <c r="C140" s="107"/>
      <c r="D140" s="107"/>
      <c r="E140" s="104"/>
      <c r="F140" s="106" t="str">
        <f>IF(E140="Yes","Pass","Fail")</f>
        <v>Fail</v>
      </c>
      <c r="H140" s="9">
        <f t="shared" si="5"/>
        <v>1</v>
      </c>
    </row>
    <row r="141" spans="1:8" ht="21.6" customHeight="1" x14ac:dyDescent="0.4">
      <c r="E141" s="15" t="s">
        <v>85</v>
      </c>
      <c r="F141" s="16" t="str">
        <f>IF(H141&gt;0,"FAIL","PASS")</f>
        <v>FAIL</v>
      </c>
      <c r="H141" s="258">
        <f xml:space="preserve"> SUM(H105:H140)</f>
        <v>20</v>
      </c>
    </row>
    <row r="142" spans="1:8" ht="8.4499999999999993" customHeight="1" x14ac:dyDescent="0.25">
      <c r="A142" s="14"/>
      <c r="B142" s="14"/>
      <c r="C142" s="14"/>
      <c r="D142" s="14"/>
      <c r="E142" s="14"/>
      <c r="F142" s="14"/>
      <c r="G142" s="14"/>
    </row>
  </sheetData>
  <sheetProtection password="BDDF" sheet="1" objects="1" scenarios="1"/>
  <mergeCells count="3">
    <mergeCell ref="D3:E3"/>
    <mergeCell ref="D52:E52"/>
    <mergeCell ref="D99:E99"/>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6" orientation="portrait" r:id="rId1"/>
  <rowBreaks count="2" manualBreakCount="2">
    <brk id="48" max="5" man="1"/>
    <brk id="95"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34"/>
  <sheetViews>
    <sheetView workbookViewId="0">
      <selection activeCell="C32" sqref="C32"/>
    </sheetView>
  </sheetViews>
  <sheetFormatPr defaultRowHeight="15" x14ac:dyDescent="0.25"/>
  <cols>
    <col min="2" max="2" width="40.28515625" customWidth="1"/>
    <col min="3" max="3" width="23.42578125" customWidth="1"/>
    <col min="4" max="4" width="17" customWidth="1"/>
    <col min="5" max="5" width="15.42578125" customWidth="1"/>
    <col min="6" max="6" width="18" customWidth="1"/>
    <col min="7" max="7" width="19.42578125" customWidth="1"/>
    <col min="8" max="8" width="17.28515625" customWidth="1"/>
    <col min="9" max="9" width="18.7109375" customWidth="1"/>
    <col min="10" max="10" width="22.140625" customWidth="1"/>
    <col min="11" max="11" width="17.28515625" customWidth="1"/>
    <col min="12" max="14" width="17.140625" customWidth="1"/>
    <col min="15" max="16" width="17.85546875" customWidth="1"/>
    <col min="17" max="18" width="18.140625" customWidth="1"/>
    <col min="19" max="20" width="18.5703125" customWidth="1"/>
    <col min="21" max="21" width="23.5703125" customWidth="1"/>
    <col min="22" max="22" width="17.5703125" customWidth="1"/>
    <col min="23" max="23" width="19.85546875" customWidth="1"/>
  </cols>
  <sheetData>
    <row r="3" spans="2:24" ht="14.45" x14ac:dyDescent="0.3">
      <c r="B3" t="s">
        <v>30</v>
      </c>
      <c r="C3" t="s">
        <v>33</v>
      </c>
      <c r="D3" t="s">
        <v>34</v>
      </c>
      <c r="E3" t="s">
        <v>35</v>
      </c>
      <c r="F3" t="s">
        <v>36</v>
      </c>
      <c r="G3" t="s">
        <v>37</v>
      </c>
      <c r="H3" t="s">
        <v>38</v>
      </c>
      <c r="I3" t="s">
        <v>12</v>
      </c>
      <c r="J3" t="s">
        <v>39</v>
      </c>
      <c r="K3" t="s">
        <v>40</v>
      </c>
      <c r="L3" t="s">
        <v>41</v>
      </c>
      <c r="M3" t="s">
        <v>42</v>
      </c>
      <c r="N3" t="s">
        <v>43</v>
      </c>
      <c r="O3" t="s">
        <v>44</v>
      </c>
      <c r="P3" t="s">
        <v>45</v>
      </c>
      <c r="Q3" t="s">
        <v>46</v>
      </c>
      <c r="R3" t="s">
        <v>47</v>
      </c>
      <c r="S3" t="s">
        <v>48</v>
      </c>
      <c r="T3" t="s">
        <v>23</v>
      </c>
      <c r="U3" t="s">
        <v>49</v>
      </c>
      <c r="V3" t="s">
        <v>64</v>
      </c>
      <c r="W3" t="s">
        <v>65</v>
      </c>
      <c r="X3" t="s">
        <v>66</v>
      </c>
    </row>
    <row r="5" spans="2:24" ht="14.45" x14ac:dyDescent="0.3">
      <c r="B5" t="s">
        <v>93</v>
      </c>
      <c r="C5" t="s">
        <v>93</v>
      </c>
      <c r="D5" t="s">
        <v>93</v>
      </c>
      <c r="E5" t="s">
        <v>93</v>
      </c>
      <c r="F5" t="s">
        <v>93</v>
      </c>
      <c r="G5" t="s">
        <v>93</v>
      </c>
      <c r="H5" t="s">
        <v>93</v>
      </c>
      <c r="I5" t="s">
        <v>93</v>
      </c>
      <c r="J5" t="s">
        <v>93</v>
      </c>
      <c r="K5" t="s">
        <v>93</v>
      </c>
      <c r="L5" t="s">
        <v>93</v>
      </c>
      <c r="M5" t="s">
        <v>93</v>
      </c>
      <c r="N5" t="s">
        <v>93</v>
      </c>
      <c r="O5" t="s">
        <v>93</v>
      </c>
      <c r="P5" t="s">
        <v>93</v>
      </c>
      <c r="Q5" t="s">
        <v>93</v>
      </c>
      <c r="R5" t="s">
        <v>93</v>
      </c>
      <c r="S5" t="s">
        <v>93</v>
      </c>
      <c r="T5" t="s">
        <v>93</v>
      </c>
      <c r="U5" t="s">
        <v>93</v>
      </c>
      <c r="V5" t="s">
        <v>93</v>
      </c>
      <c r="W5" t="s">
        <v>93</v>
      </c>
      <c r="X5" t="s">
        <v>93</v>
      </c>
    </row>
    <row r="6" spans="2:24" ht="14.45" x14ac:dyDescent="0.3">
      <c r="B6" t="s">
        <v>32</v>
      </c>
      <c r="C6" t="s">
        <v>32</v>
      </c>
      <c r="D6" t="s">
        <v>32</v>
      </c>
      <c r="E6" t="s">
        <v>51</v>
      </c>
      <c r="F6" t="s">
        <v>32</v>
      </c>
      <c r="G6" t="s">
        <v>51</v>
      </c>
      <c r="H6" t="s">
        <v>31</v>
      </c>
      <c r="I6" t="s">
        <v>52</v>
      </c>
      <c r="J6" t="s">
        <v>53</v>
      </c>
      <c r="K6" t="s">
        <v>55</v>
      </c>
      <c r="L6" t="s">
        <v>32</v>
      </c>
      <c r="M6" t="s">
        <v>32</v>
      </c>
      <c r="N6" t="s">
        <v>52</v>
      </c>
      <c r="O6" t="s">
        <v>57</v>
      </c>
      <c r="P6" t="s">
        <v>58</v>
      </c>
      <c r="Q6" t="s">
        <v>60</v>
      </c>
      <c r="R6" t="s">
        <v>61</v>
      </c>
      <c r="S6" t="s">
        <v>62</v>
      </c>
      <c r="T6" t="s">
        <v>287</v>
      </c>
      <c r="U6" t="s">
        <v>68</v>
      </c>
      <c r="V6" t="s">
        <v>73</v>
      </c>
      <c r="W6" t="s">
        <v>74</v>
      </c>
      <c r="X6" t="s">
        <v>67</v>
      </c>
    </row>
    <row r="7" spans="2:24" ht="14.45" x14ac:dyDescent="0.3">
      <c r="B7" t="s">
        <v>70</v>
      </c>
      <c r="C7" t="s">
        <v>70</v>
      </c>
      <c r="D7" t="s">
        <v>70</v>
      </c>
      <c r="E7" t="s">
        <v>70</v>
      </c>
      <c r="F7" t="s">
        <v>70</v>
      </c>
      <c r="G7" t="s">
        <v>70</v>
      </c>
      <c r="H7" t="s">
        <v>63</v>
      </c>
      <c r="I7" t="s">
        <v>56</v>
      </c>
      <c r="J7" t="s">
        <v>54</v>
      </c>
      <c r="K7" t="s">
        <v>56</v>
      </c>
      <c r="L7" t="s">
        <v>56</v>
      </c>
      <c r="M7" t="s">
        <v>56</v>
      </c>
      <c r="N7" t="s">
        <v>56</v>
      </c>
      <c r="O7" t="s">
        <v>52</v>
      </c>
      <c r="P7" t="s">
        <v>59</v>
      </c>
      <c r="Q7" t="s">
        <v>56</v>
      </c>
      <c r="R7" t="s">
        <v>56</v>
      </c>
      <c r="S7" t="s">
        <v>56</v>
      </c>
      <c r="T7" t="s">
        <v>56</v>
      </c>
      <c r="U7" t="s">
        <v>69</v>
      </c>
      <c r="X7" t="s">
        <v>63</v>
      </c>
    </row>
    <row r="8" spans="2:24" ht="14.45" x14ac:dyDescent="0.3">
      <c r="C8" t="s">
        <v>50</v>
      </c>
      <c r="G8" t="s">
        <v>63</v>
      </c>
      <c r="J8" t="s">
        <v>56</v>
      </c>
      <c r="O8" t="s">
        <v>56</v>
      </c>
      <c r="P8" t="s">
        <v>56</v>
      </c>
      <c r="U8" t="s">
        <v>56</v>
      </c>
    </row>
    <row r="10" spans="2:24" ht="14.45" x14ac:dyDescent="0.3">
      <c r="B10" t="s">
        <v>80</v>
      </c>
      <c r="C10" t="s">
        <v>93</v>
      </c>
    </row>
    <row r="11" spans="2:24" ht="14.45" x14ac:dyDescent="0.3">
      <c r="D11" s="5"/>
    </row>
    <row r="12" spans="2:24" ht="14.45" x14ac:dyDescent="0.3">
      <c r="B12" t="s">
        <v>118</v>
      </c>
      <c r="C12" t="s">
        <v>119</v>
      </c>
      <c r="D12" s="5"/>
    </row>
    <row r="13" spans="2:24" ht="14.45" x14ac:dyDescent="0.3">
      <c r="B13" t="s">
        <v>82</v>
      </c>
      <c r="C13" t="s">
        <v>120</v>
      </c>
      <c r="D13" s="5"/>
    </row>
    <row r="14" spans="2:24" ht="14.45" x14ac:dyDescent="0.3">
      <c r="B14" t="s">
        <v>81</v>
      </c>
    </row>
    <row r="15" spans="2:24" ht="14.45" x14ac:dyDescent="0.3">
      <c r="B15" t="s">
        <v>83</v>
      </c>
    </row>
    <row r="18" spans="2:20" ht="14.45" x14ac:dyDescent="0.3">
      <c r="B18" t="s">
        <v>224</v>
      </c>
      <c r="K18" s="492" t="s">
        <v>121</v>
      </c>
      <c r="L18" s="492"/>
      <c r="M18" s="492" t="s">
        <v>122</v>
      </c>
      <c r="N18" s="492"/>
      <c r="O18" s="492" t="s">
        <v>123</v>
      </c>
      <c r="P18" s="492"/>
      <c r="Q18" s="34" t="s">
        <v>122</v>
      </c>
      <c r="R18" s="34"/>
      <c r="S18" s="34" t="s">
        <v>123</v>
      </c>
      <c r="T18" s="34"/>
    </row>
    <row r="19" spans="2:20" ht="43.5" customHeight="1" x14ac:dyDescent="0.3">
      <c r="B19" s="38"/>
      <c r="C19" s="43"/>
      <c r="D19" s="493" t="s">
        <v>235</v>
      </c>
      <c r="E19" s="495"/>
      <c r="F19" s="494"/>
      <c r="G19" s="493" t="s">
        <v>124</v>
      </c>
      <c r="H19" s="494"/>
      <c r="I19" s="493" t="s">
        <v>125</v>
      </c>
      <c r="J19" s="494"/>
      <c r="K19" s="490" t="s">
        <v>236</v>
      </c>
      <c r="L19" s="491"/>
      <c r="M19" s="490" t="s">
        <v>237</v>
      </c>
      <c r="N19" s="491"/>
      <c r="O19" s="490" t="s">
        <v>237</v>
      </c>
      <c r="P19" s="491"/>
      <c r="Q19" s="490" t="s">
        <v>238</v>
      </c>
      <c r="R19" s="491"/>
      <c r="S19" s="490" t="s">
        <v>238</v>
      </c>
      <c r="T19" s="491"/>
    </row>
    <row r="20" spans="2:20" ht="39.75" customHeight="1" x14ac:dyDescent="0.3">
      <c r="B20" s="53"/>
      <c r="C20" s="147" t="s">
        <v>126</v>
      </c>
      <c r="D20" s="147" t="s">
        <v>127</v>
      </c>
      <c r="E20" s="147" t="s">
        <v>128</v>
      </c>
      <c r="F20" s="147" t="s">
        <v>129</v>
      </c>
      <c r="G20" s="148" t="s">
        <v>225</v>
      </c>
      <c r="H20" s="148" t="s">
        <v>226</v>
      </c>
      <c r="I20" s="148" t="s">
        <v>227</v>
      </c>
      <c r="J20" s="148" t="s">
        <v>130</v>
      </c>
      <c r="K20" s="148" t="s">
        <v>75</v>
      </c>
      <c r="L20" s="148" t="s">
        <v>228</v>
      </c>
      <c r="M20" s="148" t="s">
        <v>77</v>
      </c>
      <c r="N20" s="148" t="s">
        <v>131</v>
      </c>
      <c r="O20" s="148" t="s">
        <v>77</v>
      </c>
      <c r="P20" s="148" t="s">
        <v>131</v>
      </c>
      <c r="Q20" s="148" t="s">
        <v>132</v>
      </c>
      <c r="R20" s="148" t="s">
        <v>133</v>
      </c>
      <c r="S20" s="148" t="s">
        <v>132</v>
      </c>
      <c r="T20" s="148" t="s">
        <v>133</v>
      </c>
    </row>
    <row r="24" spans="2:20" ht="14.45" x14ac:dyDescent="0.3">
      <c r="B24" t="s">
        <v>259</v>
      </c>
    </row>
    <row r="25" spans="2:20" ht="14.45" x14ac:dyDescent="0.3">
      <c r="B25" s="33" t="s">
        <v>135</v>
      </c>
      <c r="C25" s="69">
        <v>0.02</v>
      </c>
    </row>
    <row r="26" spans="2:20" ht="14.45" x14ac:dyDescent="0.3">
      <c r="B26" s="33" t="s">
        <v>137</v>
      </c>
      <c r="C26" s="34">
        <v>5.0000000000000001E-3</v>
      </c>
    </row>
    <row r="27" spans="2:20" ht="14.45" x14ac:dyDescent="0.3">
      <c r="B27" s="33" t="s">
        <v>139</v>
      </c>
      <c r="C27" s="34">
        <v>5.0000000000000001E-3</v>
      </c>
    </row>
    <row r="31" spans="2:20" ht="14.45" x14ac:dyDescent="0.3">
      <c r="B31" t="s">
        <v>262</v>
      </c>
    </row>
    <row r="32" spans="2:20" ht="16.5" customHeight="1" x14ac:dyDescent="0.3">
      <c r="B32" t="s">
        <v>263</v>
      </c>
      <c r="C32" s="73">
        <v>24</v>
      </c>
    </row>
    <row r="33" spans="2:3" ht="16.5" customHeight="1" x14ac:dyDescent="0.3">
      <c r="B33" t="s">
        <v>264</v>
      </c>
      <c r="C33" s="73">
        <v>15</v>
      </c>
    </row>
    <row r="34" spans="2:3" ht="14.45" x14ac:dyDescent="0.3">
      <c r="C34" s="34"/>
    </row>
  </sheetData>
  <sheetProtection password="BDDF" sheet="1" objects="1" scenarios="1"/>
  <mergeCells count="11">
    <mergeCell ref="I19:J19"/>
    <mergeCell ref="G19:H19"/>
    <mergeCell ref="D19:F19"/>
    <mergeCell ref="M19:N19"/>
    <mergeCell ref="O19:P19"/>
    <mergeCell ref="S19:T19"/>
    <mergeCell ref="K19:L19"/>
    <mergeCell ref="K18:L18"/>
    <mergeCell ref="M18:N18"/>
    <mergeCell ref="O18:P18"/>
    <mergeCell ref="Q19:R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104"/>
  <sheetViews>
    <sheetView zoomScaleNormal="100" zoomScaleSheetLayoutView="40" workbookViewId="0">
      <selection activeCell="K12" sqref="K12"/>
    </sheetView>
  </sheetViews>
  <sheetFormatPr defaultColWidth="9.140625" defaultRowHeight="15" x14ac:dyDescent="0.25"/>
  <cols>
    <col min="1" max="1" width="4.5703125" style="307" customWidth="1"/>
    <col min="2" max="2" width="8.28515625" style="307" customWidth="1"/>
    <col min="3" max="3" width="49.85546875" style="307" customWidth="1"/>
    <col min="4" max="5" width="12.7109375" style="307" customWidth="1"/>
    <col min="6" max="6" width="13.28515625" style="307" customWidth="1"/>
    <col min="7" max="7" width="11.5703125" style="307" customWidth="1"/>
    <col min="8" max="8" width="11.28515625" style="307" customWidth="1"/>
    <col min="9" max="10" width="11.140625" style="307" customWidth="1"/>
    <col min="11" max="12" width="12" style="307" customWidth="1"/>
    <col min="13" max="13" width="10.5703125" style="307" customWidth="1"/>
    <col min="14" max="14" width="12" style="307" customWidth="1"/>
    <col min="15" max="15" width="10.140625" style="307" customWidth="1"/>
    <col min="16" max="20" width="12" style="307" customWidth="1"/>
    <col min="21" max="16384" width="9.140625" style="307"/>
  </cols>
  <sheetData>
    <row r="2" spans="2:20" ht="14.45" x14ac:dyDescent="0.3">
      <c r="B2" s="453" t="str">
        <f>D_T01!B2</f>
        <v xml:space="preserve">Prescriptive Test: House T01 (Pr-T01) Characteristics – Location: Tampa, Florida. </v>
      </c>
      <c r="C2" s="453"/>
      <c r="D2" s="453"/>
      <c r="E2" s="453"/>
      <c r="F2" s="333"/>
    </row>
    <row r="3" spans="2:20" ht="14.45" x14ac:dyDescent="0.3">
      <c r="B3" s="453" t="str">
        <f>D_T01!B3</f>
        <v>Single Family Detached Home with No Attached Garage, Single Story, Three bedroom.</v>
      </c>
      <c r="C3" s="453"/>
      <c r="D3" s="453"/>
      <c r="E3" s="453"/>
      <c r="F3" s="333"/>
    </row>
    <row r="4" spans="2:20" ht="14.45" x14ac:dyDescent="0.3">
      <c r="E4" s="263"/>
    </row>
    <row r="5" spans="2:20" ht="18.75" customHeight="1" x14ac:dyDescent="0.3">
      <c r="B5" s="328" t="s">
        <v>414</v>
      </c>
      <c r="C5" s="328"/>
      <c r="D5" s="328"/>
      <c r="E5" s="328"/>
      <c r="F5" s="328"/>
      <c r="G5" s="328"/>
      <c r="H5" s="328"/>
      <c r="I5" s="328"/>
      <c r="J5" s="328"/>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05">
        <v>1</v>
      </c>
      <c r="C8" s="225" t="str">
        <f>D_T01!B8</f>
        <v>Slab-on-grade Floor</v>
      </c>
      <c r="D8" s="39" t="s">
        <v>30</v>
      </c>
      <c r="E8" s="40"/>
      <c r="F8" s="41"/>
      <c r="G8" s="42"/>
      <c r="H8" s="41"/>
      <c r="I8" s="289"/>
      <c r="J8" s="289"/>
      <c r="K8" s="39"/>
      <c r="L8" s="41"/>
      <c r="M8" s="40"/>
      <c r="N8" s="41"/>
      <c r="O8" s="44"/>
      <c r="P8" s="41"/>
      <c r="Q8" s="44"/>
      <c r="R8" s="41"/>
      <c r="S8" s="44"/>
      <c r="T8" s="41"/>
    </row>
    <row r="9" spans="2:20" ht="15" customHeight="1" x14ac:dyDescent="0.3">
      <c r="B9" s="264">
        <v>2</v>
      </c>
      <c r="C9" s="226" t="str">
        <f>D_T01!B9</f>
        <v>Roof – gable type- 5 in 12 slope No overhangs</v>
      </c>
      <c r="D9" s="47" t="s">
        <v>33</v>
      </c>
      <c r="E9" s="265"/>
      <c r="F9" s="49"/>
      <c r="G9" s="47"/>
      <c r="H9" s="49"/>
      <c r="I9" s="265"/>
      <c r="J9" s="265"/>
      <c r="K9" s="47"/>
      <c r="L9" s="49"/>
      <c r="M9" s="265"/>
      <c r="N9" s="49"/>
      <c r="O9" s="264"/>
      <c r="P9" s="49"/>
      <c r="Q9" s="264"/>
      <c r="R9" s="49"/>
      <c r="S9" s="264"/>
      <c r="T9" s="49"/>
    </row>
    <row r="10" spans="2:20" ht="15" customHeight="1" x14ac:dyDescent="0.3">
      <c r="B10" s="264">
        <v>3</v>
      </c>
      <c r="C10" s="226" t="str">
        <f>D_T01!B10</f>
        <v>Ceiling1 –flat under attic</v>
      </c>
      <c r="D10" s="47" t="s">
        <v>34</v>
      </c>
      <c r="E10" s="135">
        <f>D_T01!G10</f>
        <v>2000</v>
      </c>
      <c r="F10" s="207">
        <f>E10-E11</f>
        <v>1990</v>
      </c>
      <c r="G10" s="208">
        <f>D53</f>
        <v>3.4267920123583803E-2</v>
      </c>
      <c r="H10" s="204">
        <f t="shared" ref="H10:H22" si="0">$G10*$F10</f>
        <v>68.193161045931774</v>
      </c>
      <c r="I10" s="138">
        <f>D35</f>
        <v>0.03</v>
      </c>
      <c r="J10" s="125">
        <f t="shared" ref="J10:J22" si="1">$I10*$F10</f>
        <v>59.699999999999996</v>
      </c>
      <c r="K10" s="51"/>
      <c r="L10" s="50"/>
      <c r="M10" s="265"/>
      <c r="N10" s="49"/>
      <c r="O10" s="264"/>
      <c r="P10" s="49"/>
      <c r="Q10" s="264"/>
      <c r="R10" s="49"/>
      <c r="S10" s="264"/>
      <c r="T10" s="49"/>
    </row>
    <row r="11" spans="2:20" ht="15" customHeight="1" x14ac:dyDescent="0.3">
      <c r="B11" s="264">
        <v>4</v>
      </c>
      <c r="C11" s="226" t="str">
        <f>D_T01!B11</f>
        <v xml:space="preserve">        Skylight</v>
      </c>
      <c r="D11" s="47" t="s">
        <v>35</v>
      </c>
      <c r="E11" s="135">
        <f>D_T01!G11</f>
        <v>10</v>
      </c>
      <c r="F11" s="207">
        <f>E11</f>
        <v>10</v>
      </c>
      <c r="G11" s="208">
        <f>D_T01!E11</f>
        <v>0.65</v>
      </c>
      <c r="H11" s="204">
        <f t="shared" si="0"/>
        <v>6.5</v>
      </c>
      <c r="I11" s="138">
        <f>D38</f>
        <v>0.65</v>
      </c>
      <c r="J11" s="125">
        <f t="shared" si="1"/>
        <v>6.5</v>
      </c>
      <c r="K11" s="203">
        <v>0</v>
      </c>
      <c r="L11" s="204">
        <f>E11</f>
        <v>10</v>
      </c>
      <c r="M11" s="138">
        <f>$G11</f>
        <v>0.65</v>
      </c>
      <c r="N11" s="204">
        <f>K11*M11</f>
        <v>0</v>
      </c>
      <c r="O11" s="341">
        <f>$G11</f>
        <v>0.65</v>
      </c>
      <c r="P11" s="204">
        <f>O11*L11</f>
        <v>6.5</v>
      </c>
      <c r="Q11" s="341">
        <f>D_T01!F11</f>
        <v>0.25</v>
      </c>
      <c r="R11" s="204">
        <f>K11*Q11</f>
        <v>0</v>
      </c>
      <c r="S11" s="341">
        <f>$Q11</f>
        <v>0.25</v>
      </c>
      <c r="T11" s="204">
        <f>S11*L11</f>
        <v>2.5</v>
      </c>
    </row>
    <row r="12" spans="2:20" ht="15" customHeight="1" x14ac:dyDescent="0.3">
      <c r="B12" s="264">
        <v>5</v>
      </c>
      <c r="C12" s="226" t="str">
        <f>D_T01!B12</f>
        <v>Wall 1 –faces North, CBS2</v>
      </c>
      <c r="D12" s="47" t="s">
        <v>36</v>
      </c>
      <c r="E12" s="135">
        <f>D_T01!G12</f>
        <v>500</v>
      </c>
      <c r="F12" s="207">
        <f>E12-E13-E14</f>
        <v>401</v>
      </c>
      <c r="G12" s="208">
        <f>D69</f>
        <v>0.10312926159551063</v>
      </c>
      <c r="H12" s="204">
        <f t="shared" si="0"/>
        <v>41.354833899799765</v>
      </c>
      <c r="I12" s="138">
        <f>D36</f>
        <v>0.14000000000000001</v>
      </c>
      <c r="J12" s="125">
        <f t="shared" si="1"/>
        <v>56.140000000000008</v>
      </c>
      <c r="K12" s="203"/>
      <c r="L12" s="204"/>
      <c r="M12" s="135"/>
      <c r="N12" s="205"/>
      <c r="O12" s="340"/>
      <c r="P12" s="205"/>
      <c r="Q12" s="340"/>
      <c r="R12" s="205"/>
      <c r="S12" s="341"/>
      <c r="T12" s="205"/>
    </row>
    <row r="13" spans="2:20" ht="15" customHeight="1" x14ac:dyDescent="0.3">
      <c r="B13" s="264">
        <v>6</v>
      </c>
      <c r="C13" s="226" t="str">
        <f>D_T01!B13</f>
        <v xml:space="preserve">        Door 1 - </v>
      </c>
      <c r="D13" s="47" t="s">
        <v>38</v>
      </c>
      <c r="E13" s="135">
        <f>D_T01!G13</f>
        <v>24</v>
      </c>
      <c r="F13" s="207">
        <f>E13</f>
        <v>24</v>
      </c>
      <c r="G13" s="208">
        <f>D_T01!E13</f>
        <v>0.4</v>
      </c>
      <c r="H13" s="204">
        <f t="shared" si="0"/>
        <v>9.6000000000000014</v>
      </c>
      <c r="I13" s="138">
        <f>D39</f>
        <v>0.4</v>
      </c>
      <c r="J13" s="125">
        <f t="shared" si="1"/>
        <v>9.6000000000000014</v>
      </c>
      <c r="K13" s="203">
        <f>IF(E13&lt;=Selections!$C$32,0,E13)</f>
        <v>0</v>
      </c>
      <c r="L13" s="204">
        <f>E13</f>
        <v>24</v>
      </c>
      <c r="M13" s="135">
        <v>0</v>
      </c>
      <c r="N13" s="204">
        <f>K13*M13</f>
        <v>0</v>
      </c>
      <c r="O13" s="341">
        <f>$G13</f>
        <v>0.4</v>
      </c>
      <c r="P13" s="204">
        <f>O13*L13</f>
        <v>9.6000000000000014</v>
      </c>
      <c r="Q13" s="340">
        <f>D_T01!F13</f>
        <v>0</v>
      </c>
      <c r="R13" s="204">
        <f>K13*Q13</f>
        <v>0</v>
      </c>
      <c r="S13" s="140">
        <f t="shared" ref="S13:S22" si="2">$Q13</f>
        <v>0</v>
      </c>
      <c r="T13" s="204">
        <f>S13*L13</f>
        <v>0</v>
      </c>
    </row>
    <row r="14" spans="2:20" ht="15" customHeight="1" x14ac:dyDescent="0.3">
      <c r="B14" s="264">
        <v>7</v>
      </c>
      <c r="C14" s="226" t="str">
        <f>D_T01!B14</f>
        <v xml:space="preserve">        Window 1 – Vinyl Frame Low-e Double</v>
      </c>
      <c r="D14" s="47" t="s">
        <v>37</v>
      </c>
      <c r="E14" s="135">
        <f>D_T01!G14</f>
        <v>75</v>
      </c>
      <c r="F14" s="207">
        <f>E14</f>
        <v>75</v>
      </c>
      <c r="G14" s="208">
        <f>D_T01!E14</f>
        <v>0.4</v>
      </c>
      <c r="H14" s="204">
        <f t="shared" si="0"/>
        <v>30</v>
      </c>
      <c r="I14" s="138">
        <f>D40</f>
        <v>0.4</v>
      </c>
      <c r="J14" s="125">
        <f t="shared" si="1"/>
        <v>30</v>
      </c>
      <c r="K14" s="203">
        <f>IF(E14&lt;=Selections!$C$33,0,E14)</f>
        <v>75</v>
      </c>
      <c r="L14" s="204">
        <f>E14</f>
        <v>75</v>
      </c>
      <c r="M14" s="138">
        <f>$G14</f>
        <v>0.4</v>
      </c>
      <c r="N14" s="204">
        <f>K14*M14</f>
        <v>30</v>
      </c>
      <c r="O14" s="341">
        <f>$G14</f>
        <v>0.4</v>
      </c>
      <c r="P14" s="204">
        <f>O14*L14</f>
        <v>30</v>
      </c>
      <c r="Q14" s="341">
        <f>D_T01!F14</f>
        <v>0.25</v>
      </c>
      <c r="R14" s="204">
        <f>K14*Q14</f>
        <v>18.75</v>
      </c>
      <c r="S14" s="341">
        <f t="shared" si="2"/>
        <v>0.25</v>
      </c>
      <c r="T14" s="204">
        <f>S14*L14</f>
        <v>18.75</v>
      </c>
    </row>
    <row r="15" spans="2:20" ht="15" customHeight="1" x14ac:dyDescent="0.3">
      <c r="B15" s="264">
        <v>8</v>
      </c>
      <c r="C15" s="226" t="str">
        <f>D_T01!B15</f>
        <v>Wall 2 –faces East, CBS</v>
      </c>
      <c r="D15" s="52" t="s">
        <v>36</v>
      </c>
      <c r="E15" s="135">
        <f>D_T01!G15</f>
        <v>400</v>
      </c>
      <c r="F15" s="207">
        <f>E15-E16</f>
        <v>325</v>
      </c>
      <c r="G15" s="208">
        <f>D69</f>
        <v>0.10312926159551063</v>
      </c>
      <c r="H15" s="204">
        <f t="shared" si="0"/>
        <v>33.517010018540951</v>
      </c>
      <c r="I15" s="138">
        <f>D36</f>
        <v>0.14000000000000001</v>
      </c>
      <c r="J15" s="125">
        <f t="shared" si="1"/>
        <v>45.500000000000007</v>
      </c>
      <c r="K15" s="203"/>
      <c r="L15" s="204"/>
      <c r="M15" s="135"/>
      <c r="N15" s="205"/>
      <c r="O15" s="340"/>
      <c r="P15" s="205"/>
      <c r="Q15" s="340"/>
      <c r="R15" s="205"/>
      <c r="S15" s="341"/>
      <c r="T15" s="205"/>
    </row>
    <row r="16" spans="2:20" ht="15" customHeight="1" x14ac:dyDescent="0.3">
      <c r="B16" s="264">
        <v>9</v>
      </c>
      <c r="C16" s="226" t="str">
        <f>D_T01!B16</f>
        <v xml:space="preserve">        Window 2 – Vinyl Frame Low-e Double</v>
      </c>
      <c r="D16" s="47" t="s">
        <v>37</v>
      </c>
      <c r="E16" s="135">
        <f>D_T01!G16</f>
        <v>75</v>
      </c>
      <c r="F16" s="207">
        <f>E16</f>
        <v>75</v>
      </c>
      <c r="G16" s="208">
        <f>D_T01!E16</f>
        <v>0.4</v>
      </c>
      <c r="H16" s="204">
        <f t="shared" si="0"/>
        <v>30</v>
      </c>
      <c r="I16" s="138">
        <f>D40</f>
        <v>0.4</v>
      </c>
      <c r="J16" s="125">
        <f t="shared" si="1"/>
        <v>30</v>
      </c>
      <c r="K16" s="203">
        <f>IF(E16&lt;=Selections!$C$33,0,E16)</f>
        <v>75</v>
      </c>
      <c r="L16" s="204">
        <f>E16</f>
        <v>75</v>
      </c>
      <c r="M16" s="138">
        <f>$G16</f>
        <v>0.4</v>
      </c>
      <c r="N16" s="204">
        <f>K16*M16</f>
        <v>30</v>
      </c>
      <c r="O16" s="341">
        <f>$G16</f>
        <v>0.4</v>
      </c>
      <c r="P16" s="204">
        <f>O16*L16</f>
        <v>30</v>
      </c>
      <c r="Q16" s="341">
        <f>D_T01!F16</f>
        <v>0.25</v>
      </c>
      <c r="R16" s="204">
        <f>K16*Q16</f>
        <v>18.75</v>
      </c>
      <c r="S16" s="341">
        <f t="shared" si="2"/>
        <v>0.25</v>
      </c>
      <c r="T16" s="204">
        <f>S16*L16</f>
        <v>18.75</v>
      </c>
    </row>
    <row r="17" spans="2:20" ht="15" customHeight="1" x14ac:dyDescent="0.3">
      <c r="B17" s="264">
        <v>10</v>
      </c>
      <c r="C17" s="226" t="str">
        <f>D_T01!B17</f>
        <v>Wall 3 –faces South, CBS</v>
      </c>
      <c r="D17" s="47" t="s">
        <v>36</v>
      </c>
      <c r="E17" s="135">
        <f>D_T01!G17</f>
        <v>400</v>
      </c>
      <c r="F17" s="207">
        <f>E17-E18</f>
        <v>385</v>
      </c>
      <c r="G17" s="208">
        <f>D69</f>
        <v>0.10312926159551063</v>
      </c>
      <c r="H17" s="204">
        <f t="shared" si="0"/>
        <v>39.704765714271595</v>
      </c>
      <c r="I17" s="138">
        <f>D36</f>
        <v>0.14000000000000001</v>
      </c>
      <c r="J17" s="125">
        <f t="shared" si="1"/>
        <v>53.900000000000006</v>
      </c>
      <c r="K17" s="203"/>
      <c r="L17" s="204"/>
      <c r="M17" s="135"/>
      <c r="N17" s="205"/>
      <c r="O17" s="340"/>
      <c r="P17" s="205"/>
      <c r="Q17" s="340"/>
      <c r="R17" s="205"/>
      <c r="S17" s="341"/>
      <c r="T17" s="205"/>
    </row>
    <row r="18" spans="2:20" ht="15" customHeight="1" x14ac:dyDescent="0.3">
      <c r="B18" s="264">
        <v>11</v>
      </c>
      <c r="C18" s="226" t="str">
        <f>D_T01!B18</f>
        <v xml:space="preserve">        Window 3 – Vinyl Frame Low-e Double</v>
      </c>
      <c r="D18" s="47" t="s">
        <v>37</v>
      </c>
      <c r="E18" s="135">
        <f>D_T01!G18</f>
        <v>15</v>
      </c>
      <c r="F18" s="207">
        <f>E18</f>
        <v>15</v>
      </c>
      <c r="G18" s="208">
        <f>D_T01!E18</f>
        <v>0.4</v>
      </c>
      <c r="H18" s="204">
        <f t="shared" si="0"/>
        <v>6</v>
      </c>
      <c r="I18" s="138">
        <f>D40</f>
        <v>0.4</v>
      </c>
      <c r="J18" s="125">
        <f t="shared" si="1"/>
        <v>6</v>
      </c>
      <c r="K18" s="203">
        <v>15</v>
      </c>
      <c r="L18" s="204">
        <f>E18</f>
        <v>15</v>
      </c>
      <c r="M18" s="138">
        <f>$G18</f>
        <v>0.4</v>
      </c>
      <c r="N18" s="204">
        <f>K18*M18</f>
        <v>6</v>
      </c>
      <c r="O18" s="341">
        <f>$G18</f>
        <v>0.4</v>
      </c>
      <c r="P18" s="204">
        <f>O18*L18</f>
        <v>6</v>
      </c>
      <c r="Q18" s="341">
        <f>D_T01!F18</f>
        <v>0.25</v>
      </c>
      <c r="R18" s="204">
        <f>K18*Q18</f>
        <v>3.75</v>
      </c>
      <c r="S18" s="341">
        <f t="shared" si="2"/>
        <v>0.25</v>
      </c>
      <c r="T18" s="204">
        <f>S18*L18</f>
        <v>3.75</v>
      </c>
    </row>
    <row r="19" spans="2:20" ht="15" customHeight="1" x14ac:dyDescent="0.3">
      <c r="B19" s="264">
        <v>12</v>
      </c>
      <c r="C19" s="226" t="str">
        <f>D_T01!B19</f>
        <v>Wall 4 –faces South, Wood3 2x4 Stud</v>
      </c>
      <c r="D19" s="47" t="s">
        <v>36</v>
      </c>
      <c r="E19" s="135">
        <f>D_T01!G19</f>
        <v>100</v>
      </c>
      <c r="F19" s="207">
        <f>E19-E20</f>
        <v>40</v>
      </c>
      <c r="G19" s="208">
        <f>D84</f>
        <v>8.6865673938545357E-2</v>
      </c>
      <c r="H19" s="204">
        <f t="shared" si="0"/>
        <v>3.4746269575418145</v>
      </c>
      <c r="I19" s="138">
        <f>D37</f>
        <v>8.2000000000000003E-2</v>
      </c>
      <c r="J19" s="125">
        <f t="shared" si="1"/>
        <v>3.2800000000000002</v>
      </c>
      <c r="K19" s="203"/>
      <c r="L19" s="204"/>
      <c r="M19" s="135"/>
      <c r="N19" s="205"/>
      <c r="O19" s="340"/>
      <c r="P19" s="205"/>
      <c r="Q19" s="340"/>
      <c r="R19" s="205"/>
      <c r="S19" s="341"/>
      <c r="T19" s="205"/>
    </row>
    <row r="20" spans="2:20" ht="15" customHeight="1" x14ac:dyDescent="0.3">
      <c r="B20" s="264">
        <v>13</v>
      </c>
      <c r="C20" s="226" t="str">
        <f>D_T01!B20</f>
        <v xml:space="preserve">        Window 4 – Vinyl Frame  Low-e Double</v>
      </c>
      <c r="D20" s="47" t="s">
        <v>37</v>
      </c>
      <c r="E20" s="135">
        <f>D_T01!G20</f>
        <v>60</v>
      </c>
      <c r="F20" s="207">
        <f>E20</f>
        <v>60</v>
      </c>
      <c r="G20" s="208">
        <f>D_T01!E20</f>
        <v>0.4</v>
      </c>
      <c r="H20" s="204">
        <f t="shared" si="0"/>
        <v>24</v>
      </c>
      <c r="I20" s="138">
        <f>D40</f>
        <v>0.4</v>
      </c>
      <c r="J20" s="125">
        <f t="shared" si="1"/>
        <v>24</v>
      </c>
      <c r="K20" s="203">
        <f>IF(E20&lt;=Selections!$C$33,0,E20)</f>
        <v>60</v>
      </c>
      <c r="L20" s="204">
        <f>E20</f>
        <v>60</v>
      </c>
      <c r="M20" s="138">
        <f>$G20</f>
        <v>0.4</v>
      </c>
      <c r="N20" s="204">
        <f>K20*M20</f>
        <v>24</v>
      </c>
      <c r="O20" s="341">
        <f>$G20</f>
        <v>0.4</v>
      </c>
      <c r="P20" s="204">
        <f>O20*L20</f>
        <v>24</v>
      </c>
      <c r="Q20" s="341">
        <f>D_T01!F20</f>
        <v>0.25</v>
      </c>
      <c r="R20" s="204">
        <f>K20*Q20</f>
        <v>15</v>
      </c>
      <c r="S20" s="341">
        <f t="shared" si="2"/>
        <v>0.25</v>
      </c>
      <c r="T20" s="204">
        <f>S20*L20</f>
        <v>15</v>
      </c>
    </row>
    <row r="21" spans="2:20" ht="15" customHeight="1" x14ac:dyDescent="0.3">
      <c r="B21" s="264">
        <v>14</v>
      </c>
      <c r="C21" s="226" t="str">
        <f>D_T01!B21</f>
        <v>Wall 5 –faces West, CBS</v>
      </c>
      <c r="D21" s="47" t="s">
        <v>36</v>
      </c>
      <c r="E21" s="135">
        <f>D_T01!G21</f>
        <v>400</v>
      </c>
      <c r="F21" s="207">
        <f>E21-E22</f>
        <v>325</v>
      </c>
      <c r="G21" s="208">
        <f>D69</f>
        <v>0.10312926159551063</v>
      </c>
      <c r="H21" s="204">
        <f t="shared" si="0"/>
        <v>33.517010018540951</v>
      </c>
      <c r="I21" s="138">
        <f>D36</f>
        <v>0.14000000000000001</v>
      </c>
      <c r="J21" s="125">
        <f t="shared" si="1"/>
        <v>45.500000000000007</v>
      </c>
      <c r="K21" s="203"/>
      <c r="L21" s="204"/>
      <c r="M21" s="135"/>
      <c r="N21" s="205"/>
      <c r="O21" s="340"/>
      <c r="P21" s="205"/>
      <c r="Q21" s="340"/>
      <c r="R21" s="205"/>
      <c r="S21" s="341"/>
      <c r="T21" s="205"/>
    </row>
    <row r="22" spans="2:20" ht="15" customHeight="1" x14ac:dyDescent="0.3">
      <c r="B22" s="277">
        <v>15</v>
      </c>
      <c r="C22" s="227" t="str">
        <f>D_T01!B22</f>
        <v xml:space="preserve">        Window 5 – Vinyl Frame Low-e Double</v>
      </c>
      <c r="D22" s="54" t="s">
        <v>37</v>
      </c>
      <c r="E22" s="209">
        <f>D_T01!G22</f>
        <v>75</v>
      </c>
      <c r="F22" s="210">
        <f>E22</f>
        <v>75</v>
      </c>
      <c r="G22" s="211">
        <f>D_T01!E22</f>
        <v>0.4</v>
      </c>
      <c r="H22" s="206">
        <f t="shared" si="0"/>
        <v>30</v>
      </c>
      <c r="I22" s="126">
        <f>D40</f>
        <v>0.4</v>
      </c>
      <c r="J22" s="212">
        <f t="shared" si="1"/>
        <v>30</v>
      </c>
      <c r="K22" s="203">
        <f>IF(E22&lt;=Selections!$C$33,0,E22)</f>
        <v>75</v>
      </c>
      <c r="L22" s="206">
        <f>E22</f>
        <v>75</v>
      </c>
      <c r="M22" s="138">
        <f>$G22</f>
        <v>0.4</v>
      </c>
      <c r="N22" s="204">
        <f>K22*M22</f>
        <v>30</v>
      </c>
      <c r="O22" s="341">
        <f>$G22</f>
        <v>0.4</v>
      </c>
      <c r="P22" s="204">
        <f>O22*L22</f>
        <v>30</v>
      </c>
      <c r="Q22" s="341">
        <f>D_T01!F22</f>
        <v>0.25</v>
      </c>
      <c r="R22" s="204">
        <f>K22*Q22</f>
        <v>18.75</v>
      </c>
      <c r="S22" s="341">
        <f t="shared" si="2"/>
        <v>0.25</v>
      </c>
      <c r="T22" s="204">
        <f>S22*L22</f>
        <v>18.75</v>
      </c>
    </row>
    <row r="23" spans="2:20" ht="3.75" customHeight="1" x14ac:dyDescent="0.3">
      <c r="B23" s="318"/>
      <c r="C23" s="279"/>
      <c r="D23" s="56"/>
      <c r="E23" s="319"/>
      <c r="F23" s="57"/>
      <c r="G23" s="56"/>
      <c r="H23" s="57"/>
      <c r="I23" s="319"/>
      <c r="J23" s="319"/>
      <c r="K23" s="56"/>
      <c r="L23" s="57"/>
      <c r="M23" s="332"/>
      <c r="N23" s="59"/>
      <c r="O23" s="279"/>
      <c r="P23" s="59"/>
      <c r="Q23" s="279"/>
      <c r="R23" s="59"/>
      <c r="S23" s="279"/>
      <c r="T23" s="59"/>
    </row>
    <row r="24" spans="2:20" ht="15.6" x14ac:dyDescent="0.3">
      <c r="B24" s="330"/>
      <c r="C24" s="331" t="s">
        <v>134</v>
      </c>
      <c r="D24" s="62"/>
      <c r="E24" s="332"/>
      <c r="F24" s="59"/>
      <c r="G24" s="455"/>
      <c r="H24" s="456">
        <f>SUM(H10:H22)</f>
        <v>355.86140765462687</v>
      </c>
      <c r="I24" s="457"/>
      <c r="J24" s="458">
        <f>SUM(J10:J22)</f>
        <v>400.12</v>
      </c>
      <c r="K24" s="459">
        <f>SUM(K10:K22)</f>
        <v>300</v>
      </c>
      <c r="L24" s="456">
        <f>SUM(L10:L22)</f>
        <v>334</v>
      </c>
      <c r="M24" s="460">
        <f>N24/K24</f>
        <v>0.4</v>
      </c>
      <c r="N24" s="456">
        <f>SUM(N10:N22)</f>
        <v>120</v>
      </c>
      <c r="O24" s="461">
        <f>P24/L24</f>
        <v>0.40748502994011976</v>
      </c>
      <c r="P24" s="456">
        <f>SUM(P10:P22)</f>
        <v>136.1</v>
      </c>
      <c r="Q24" s="461">
        <f>R24/K24</f>
        <v>0.25</v>
      </c>
      <c r="R24" s="456">
        <f>SUM(R10:R22)</f>
        <v>75</v>
      </c>
      <c r="S24" s="461">
        <f>T24/(L24-L13)</f>
        <v>0.25</v>
      </c>
      <c r="T24" s="456">
        <f>SUM(T10:T22)</f>
        <v>77.5</v>
      </c>
    </row>
    <row r="25" spans="2:20" ht="9.75" customHeight="1" x14ac:dyDescent="0.3">
      <c r="B25" s="337"/>
      <c r="C25" s="338"/>
      <c r="D25" s="65"/>
      <c r="E25" s="65"/>
      <c r="F25" s="65"/>
      <c r="G25" s="65"/>
      <c r="H25" s="66"/>
      <c r="I25" s="67"/>
      <c r="J25" s="66"/>
      <c r="K25" s="66"/>
      <c r="L25" s="66"/>
      <c r="M25" s="68"/>
      <c r="N25" s="66"/>
      <c r="O25" s="68"/>
      <c r="P25" s="66"/>
      <c r="Q25" s="68"/>
      <c r="R25" s="66"/>
      <c r="S25" s="68"/>
      <c r="T25" s="66"/>
    </row>
    <row r="26" spans="2:20" ht="45" customHeight="1" x14ac:dyDescent="0.3">
      <c r="B26" s="337"/>
      <c r="C26" s="214" t="str">
        <f>Selections!B25</f>
        <v>UA allowed deviation range in %</v>
      </c>
      <c r="D26" s="223">
        <f>Selections!C25</f>
        <v>0.02</v>
      </c>
      <c r="E26" s="322"/>
      <c r="G26" s="263"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263" t="s">
        <v>138</v>
      </c>
      <c r="H27" s="213">
        <f>H24-(H24*$D$26)</f>
        <v>348.74417950153435</v>
      </c>
      <c r="J27" s="213">
        <f>J24-(J24*$D$26)</f>
        <v>392.11759999999998</v>
      </c>
      <c r="K27" s="214"/>
      <c r="L27" s="214"/>
      <c r="M27" s="215">
        <f>M$24-$D$27</f>
        <v>0.39500000000000002</v>
      </c>
      <c r="N27" s="216">
        <f>N$24-$D$26*N$24</f>
        <v>117.6</v>
      </c>
      <c r="O27" s="217">
        <f>O$24-$D$27</f>
        <v>0.40248502994011975</v>
      </c>
      <c r="P27" s="216">
        <f>P$24-$D$26*P$24</f>
        <v>133.37799999999999</v>
      </c>
      <c r="Q27" s="217">
        <f>Q$24-$D$28</f>
        <v>0.245</v>
      </c>
      <c r="R27" s="216">
        <f>R$24-$D$26*R$24</f>
        <v>73.5</v>
      </c>
      <c r="S27" s="217">
        <f>S$24-$D$28</f>
        <v>0.245</v>
      </c>
      <c r="T27" s="216">
        <f>T$24-$D$26*T$24</f>
        <v>75.95</v>
      </c>
    </row>
    <row r="28" spans="2:20" ht="14.45" x14ac:dyDescent="0.3">
      <c r="C28" s="214" t="str">
        <f>Selections!B27</f>
        <v>SHGC allowed deviation range absolute</v>
      </c>
      <c r="D28" s="224">
        <f>Selections!C27</f>
        <v>5.0000000000000001E-3</v>
      </c>
      <c r="G28" s="263" t="s">
        <v>140</v>
      </c>
      <c r="H28" s="213">
        <f>H24*(1+$D$26)</f>
        <v>362.9786358077194</v>
      </c>
      <c r="J28" s="213">
        <f>J24*(1+$D$26)</f>
        <v>408.12240000000003</v>
      </c>
      <c r="K28" s="214"/>
      <c r="L28" s="214"/>
      <c r="M28" s="215">
        <f>M$24+$D$27</f>
        <v>0.40500000000000003</v>
      </c>
      <c r="N28" s="216">
        <f>N$24+$D$26*N$24</f>
        <v>122.4</v>
      </c>
      <c r="O28" s="217">
        <f>O$24+$D$28</f>
        <v>0.41248502994011976</v>
      </c>
      <c r="P28" s="216">
        <f>P$24+$D$26*P$24</f>
        <v>138.822</v>
      </c>
      <c r="Q28" s="217">
        <f>Q$24+$D$28</f>
        <v>0.255</v>
      </c>
      <c r="R28" s="216">
        <f>R$24+$D$26*R$24</f>
        <v>76.5</v>
      </c>
      <c r="S28" s="217">
        <f>S$24+$D$28</f>
        <v>0.255</v>
      </c>
      <c r="T28" s="216">
        <f>T$24+$D$26*T$24</f>
        <v>79.05</v>
      </c>
    </row>
    <row r="29" spans="2:20" ht="14.45" x14ac:dyDescent="0.3">
      <c r="D29" s="263"/>
      <c r="G29" s="263"/>
      <c r="I29" s="344"/>
      <c r="J29" s="344"/>
      <c r="M29" s="262"/>
      <c r="N29" s="261"/>
      <c r="O29" s="74"/>
      <c r="P29" s="261"/>
      <c r="Q29" s="74"/>
      <c r="R29" s="261"/>
      <c r="S29" s="74"/>
      <c r="T29" s="261"/>
    </row>
    <row r="30" spans="2:20" ht="13.5" customHeight="1" x14ac:dyDescent="0.3">
      <c r="B30" s="307" t="s">
        <v>242</v>
      </c>
    </row>
    <row r="31" spans="2:20" ht="19.5" customHeight="1" x14ac:dyDescent="0.3">
      <c r="B31" s="241" t="s">
        <v>261</v>
      </c>
      <c r="C31" s="331"/>
      <c r="D31" s="242"/>
      <c r="E31" s="65"/>
      <c r="F31" s="65"/>
      <c r="H31" s="65"/>
      <c r="I31" s="67"/>
      <c r="J31" s="261"/>
      <c r="K31" s="261"/>
      <c r="L31" s="261"/>
      <c r="M31" s="74"/>
      <c r="N31" s="74"/>
      <c r="O31" s="261"/>
      <c r="P31" s="74"/>
      <c r="Q31" s="74"/>
      <c r="R31" s="465"/>
      <c r="S31" s="466"/>
      <c r="T31" s="465"/>
    </row>
    <row r="32" spans="2:20" ht="43.5" customHeight="1" x14ac:dyDescent="0.3">
      <c r="B32" s="278"/>
      <c r="C32" s="301" t="s">
        <v>141</v>
      </c>
      <c r="D32" s="283" t="s">
        <v>234</v>
      </c>
      <c r="F32" s="322"/>
      <c r="G32" s="322"/>
      <c r="H32" s="322"/>
    </row>
    <row r="33" spans="2:8" ht="14.45" x14ac:dyDescent="0.3">
      <c r="B33" s="273">
        <v>1</v>
      </c>
      <c r="C33" s="285" t="s">
        <v>30</v>
      </c>
      <c r="D33" s="275">
        <v>6.4000000000000001E-2</v>
      </c>
    </row>
    <row r="34" spans="2:8" ht="14.45" x14ac:dyDescent="0.3">
      <c r="B34" s="273">
        <v>2</v>
      </c>
      <c r="C34" s="285" t="s">
        <v>33</v>
      </c>
      <c r="D34" s="275"/>
    </row>
    <row r="35" spans="2:8" ht="14.45" x14ac:dyDescent="0.3">
      <c r="B35" s="273">
        <v>3</v>
      </c>
      <c r="C35" s="285" t="s">
        <v>419</v>
      </c>
      <c r="D35" s="275">
        <v>0.03</v>
      </c>
    </row>
    <row r="36" spans="2:8" ht="14.45" x14ac:dyDescent="0.3">
      <c r="B36" s="273">
        <v>4</v>
      </c>
      <c r="C36" s="285" t="s">
        <v>143</v>
      </c>
      <c r="D36" s="149">
        <v>0.14000000000000001</v>
      </c>
    </row>
    <row r="37" spans="2:8" ht="14.45" x14ac:dyDescent="0.3">
      <c r="B37" s="273">
        <v>5</v>
      </c>
      <c r="C37" s="285" t="s">
        <v>144</v>
      </c>
      <c r="D37" s="275">
        <v>8.2000000000000003E-2</v>
      </c>
    </row>
    <row r="38" spans="2:8" ht="14.45" x14ac:dyDescent="0.3">
      <c r="B38" s="273">
        <v>6</v>
      </c>
      <c r="C38" s="285" t="s">
        <v>35</v>
      </c>
      <c r="D38" s="274">
        <v>0.65</v>
      </c>
    </row>
    <row r="39" spans="2:8" ht="14.45" x14ac:dyDescent="0.3">
      <c r="B39" s="273">
        <v>7</v>
      </c>
      <c r="C39" s="285" t="s">
        <v>38</v>
      </c>
      <c r="D39" s="274">
        <v>0.4</v>
      </c>
    </row>
    <row r="40" spans="2:8" ht="14.45" x14ac:dyDescent="0.3">
      <c r="B40" s="282">
        <v>8</v>
      </c>
      <c r="C40" s="286" t="s">
        <v>145</v>
      </c>
      <c r="D40" s="150">
        <v>0.4</v>
      </c>
    </row>
    <row r="41" spans="2:8" ht="13.5" customHeight="1" x14ac:dyDescent="0.3">
      <c r="B41" s="265"/>
    </row>
    <row r="42" spans="2:8" ht="13.5" customHeight="1" x14ac:dyDescent="0.3">
      <c r="B42" s="265"/>
    </row>
    <row r="43" spans="2:8" ht="30.75" customHeight="1" x14ac:dyDescent="0.3">
      <c r="B43" s="307" t="s">
        <v>34</v>
      </c>
      <c r="C43" s="259" t="s">
        <v>241</v>
      </c>
    </row>
    <row r="44" spans="2:8" ht="31.5" customHeight="1" x14ac:dyDescent="0.3">
      <c r="B44" s="318"/>
      <c r="C44" s="296" t="s">
        <v>146</v>
      </c>
      <c r="D44" s="290" t="s">
        <v>147</v>
      </c>
      <c r="E44" s="272" t="s">
        <v>148</v>
      </c>
      <c r="F44" s="279" t="s">
        <v>142</v>
      </c>
      <c r="G44" s="332"/>
      <c r="H44" s="345"/>
    </row>
    <row r="45" spans="2:8" ht="14.45" x14ac:dyDescent="0.3">
      <c r="B45" s="318"/>
      <c r="C45" s="296" t="s">
        <v>395</v>
      </c>
      <c r="D45" s="124">
        <f>1-D_T01!C50</f>
        <v>0.92999999999999994</v>
      </c>
      <c r="E45" s="141">
        <f>D_T01!C50</f>
        <v>7.0000000000000007E-2</v>
      </c>
      <c r="G45" s="322"/>
      <c r="H45" s="323"/>
    </row>
    <row r="46" spans="2:8" ht="15.75" customHeight="1" x14ac:dyDescent="0.3">
      <c r="B46" s="264">
        <v>1</v>
      </c>
      <c r="C46" s="239" t="str">
        <f>D_T01!B53</f>
        <v>Attic Air film</v>
      </c>
      <c r="D46" s="300">
        <f>D_T01!C53</f>
        <v>0.61</v>
      </c>
      <c r="E46" s="142">
        <f>D_T01!C53</f>
        <v>0.61</v>
      </c>
      <c r="F46" s="294"/>
      <c r="G46" s="322"/>
      <c r="H46" s="323"/>
    </row>
    <row r="47" spans="2:8" ht="15.75" customHeight="1" x14ac:dyDescent="0.3">
      <c r="B47" s="264">
        <v>2</v>
      </c>
      <c r="C47" s="239" t="str">
        <f>D_T01!B54</f>
        <v>Batt Insulation R38</v>
      </c>
      <c r="D47" s="120">
        <f>D_T01!C54</f>
        <v>38</v>
      </c>
      <c r="E47" s="143">
        <v>0</v>
      </c>
      <c r="F47" s="308"/>
      <c r="G47" s="322"/>
      <c r="H47" s="323"/>
    </row>
    <row r="48" spans="2:8" ht="15.75" customHeight="1" x14ac:dyDescent="0.3">
      <c r="B48" s="264">
        <v>3</v>
      </c>
      <c r="C48" s="239" t="str">
        <f>D_T01!B55</f>
        <v>Wood Stud 2 x 4: Nominal</v>
      </c>
      <c r="D48" s="120">
        <v>0</v>
      </c>
      <c r="E48" s="142">
        <f>D_T01!C55</f>
        <v>4.38</v>
      </c>
      <c r="F48" s="308"/>
      <c r="G48" s="322"/>
      <c r="H48" s="323"/>
    </row>
    <row r="49" spans="2:8" ht="15.75" customHeight="1" x14ac:dyDescent="0.3">
      <c r="B49" s="264">
        <v>4</v>
      </c>
      <c r="C49" s="239" t="str">
        <f>D_T01!B56</f>
        <v xml:space="preserve">0.5 Inch Drywall </v>
      </c>
      <c r="D49" s="300">
        <f>D_T01!C56</f>
        <v>0.45</v>
      </c>
      <c r="E49" s="142">
        <f>D_T01!C56</f>
        <v>0.45</v>
      </c>
      <c r="F49" s="308"/>
      <c r="G49" s="322"/>
      <c r="H49" s="323"/>
    </row>
    <row r="50" spans="2:8" ht="15.75" customHeight="1" x14ac:dyDescent="0.3">
      <c r="B50" s="264">
        <v>5</v>
      </c>
      <c r="C50" s="239" t="str">
        <f>D_T01!B57</f>
        <v>Indoor Air film</v>
      </c>
      <c r="D50" s="300">
        <f>D_T01!C57</f>
        <v>0.92</v>
      </c>
      <c r="E50" s="142">
        <f>D_T01!C57</f>
        <v>0.92</v>
      </c>
      <c r="F50" s="308"/>
      <c r="G50" s="322"/>
      <c r="H50" s="323"/>
    </row>
    <row r="51" spans="2:8" ht="15.75" customHeight="1" x14ac:dyDescent="0.3">
      <c r="B51" s="264"/>
      <c r="C51" s="321" t="s">
        <v>158</v>
      </c>
      <c r="D51" s="300">
        <f>SUM(D46:D50)</f>
        <v>39.980000000000004</v>
      </c>
      <c r="E51" s="142">
        <f>SUM(E46:E50)</f>
        <v>6.36</v>
      </c>
      <c r="F51" s="308"/>
      <c r="G51" s="322"/>
      <c r="H51" s="323"/>
    </row>
    <row r="52" spans="2:8" ht="15.75" customHeight="1" x14ac:dyDescent="0.3">
      <c r="B52" s="277"/>
      <c r="C52" s="325" t="s">
        <v>159</v>
      </c>
      <c r="D52" s="123">
        <f>1/D51</f>
        <v>2.5012506253126562E-2</v>
      </c>
      <c r="E52" s="144">
        <f>1/E51</f>
        <v>0.15723270440251572</v>
      </c>
      <c r="F52" s="308"/>
      <c r="G52" s="322"/>
      <c r="H52" s="323"/>
    </row>
    <row r="53" spans="2:8" ht="18" customHeight="1" x14ac:dyDescent="0.3">
      <c r="B53" s="264"/>
      <c r="C53" s="329" t="s">
        <v>160</v>
      </c>
      <c r="D53" s="119">
        <f>D52*D45+E52*E45</f>
        <v>3.4267920123583803E-2</v>
      </c>
      <c r="E53" s="323"/>
      <c r="F53" s="308" t="s">
        <v>83</v>
      </c>
      <c r="G53" s="322"/>
      <c r="H53" s="323"/>
    </row>
    <row r="54" spans="2:8" ht="18" customHeight="1" x14ac:dyDescent="0.3">
      <c r="B54" s="277"/>
      <c r="C54" s="325" t="s">
        <v>161</v>
      </c>
      <c r="D54" s="128">
        <f>1/D53</f>
        <v>29.181811921867471</v>
      </c>
      <c r="E54" s="327"/>
      <c r="F54" s="324"/>
      <c r="G54" s="326"/>
      <c r="H54" s="327"/>
    </row>
    <row r="55" spans="2:8" ht="14.45" x14ac:dyDescent="0.3">
      <c r="B55" s="263"/>
      <c r="F55" s="322"/>
      <c r="G55" s="322"/>
      <c r="H55" s="322"/>
    </row>
    <row r="56" spans="2:8" ht="14.45" x14ac:dyDescent="0.3">
      <c r="B56" s="263"/>
      <c r="F56" s="322"/>
      <c r="G56" s="322"/>
      <c r="H56" s="322"/>
    </row>
    <row r="57" spans="2:8" ht="14.45" x14ac:dyDescent="0.3">
      <c r="B57" s="263"/>
      <c r="F57" s="322"/>
      <c r="G57" s="322"/>
      <c r="H57" s="322"/>
    </row>
    <row r="58" spans="2:8" ht="33.75" customHeight="1" x14ac:dyDescent="0.3">
      <c r="B58" s="263" t="s">
        <v>36</v>
      </c>
      <c r="C58" s="259" t="s">
        <v>382</v>
      </c>
      <c r="F58" s="322"/>
      <c r="G58" s="322"/>
      <c r="H58" s="322"/>
    </row>
    <row r="59" spans="2:8" ht="29.25" customHeight="1" x14ac:dyDescent="0.3">
      <c r="B59" s="279"/>
      <c r="C59" s="271" t="s">
        <v>146</v>
      </c>
      <c r="D59" s="272" t="s">
        <v>212</v>
      </c>
      <c r="E59" s="270"/>
      <c r="F59" s="279" t="s">
        <v>142</v>
      </c>
      <c r="G59" s="332"/>
      <c r="H59" s="345"/>
    </row>
    <row r="60" spans="2:8" ht="14.45" x14ac:dyDescent="0.3">
      <c r="B60" s="305">
        <v>1</v>
      </c>
      <c r="C60" s="229" t="str">
        <f>D_T01!B64</f>
        <v>Outside Air Film (7.5 mph wind, Summer)</v>
      </c>
      <c r="D60" s="118">
        <f>D_T01!C64</f>
        <v>0.25</v>
      </c>
      <c r="E60" s="306"/>
      <c r="G60" s="322"/>
      <c r="H60" s="323"/>
    </row>
    <row r="61" spans="2:8" ht="14.45" x14ac:dyDescent="0.3">
      <c r="B61" s="264">
        <v>2</v>
      </c>
      <c r="C61" s="239" t="str">
        <f>D_T01!B65</f>
        <v>Stucco (0.8 Inch thick, conductivity=9.7 Btu-in/h-ft2-°F)</v>
      </c>
      <c r="D61" s="119">
        <f>D_T01!C65</f>
        <v>8.2474226804123724E-2</v>
      </c>
      <c r="E61" s="323"/>
      <c r="F61" s="308"/>
      <c r="G61" s="322"/>
      <c r="H61" s="323"/>
    </row>
    <row r="62" spans="2:8" ht="14.45" x14ac:dyDescent="0.3">
      <c r="B62" s="264">
        <v>3</v>
      </c>
      <c r="C62" s="239" t="str">
        <f>D_T01!B66</f>
        <v>lathe</v>
      </c>
      <c r="D62" s="120">
        <f>D_T01!C66</f>
        <v>0</v>
      </c>
      <c r="E62" s="323"/>
      <c r="F62" s="308"/>
      <c r="G62" s="322"/>
      <c r="H62" s="323"/>
    </row>
    <row r="63" spans="2:8" ht="14.45" x14ac:dyDescent="0.3">
      <c r="B63" s="264">
        <v>4</v>
      </c>
      <c r="C63" s="239" t="str">
        <f>D_T01!B67</f>
        <v>8 Inch Hollow Concrete Block (Normal Density)</v>
      </c>
      <c r="D63" s="300">
        <f>D_T01!C106</f>
        <v>1.0140947636940258</v>
      </c>
      <c r="E63" s="323"/>
      <c r="F63" s="308"/>
      <c r="G63" s="322"/>
      <c r="H63" s="323"/>
    </row>
    <row r="64" spans="2:8" ht="14.45" x14ac:dyDescent="0.3">
      <c r="B64" s="264">
        <v>5</v>
      </c>
      <c r="C64" s="239" t="str">
        <f>D_T01!B68</f>
        <v>1 Inch R6 Insulation Board</v>
      </c>
      <c r="D64" s="120">
        <f>D_T01!C68</f>
        <v>6</v>
      </c>
      <c r="E64" s="323"/>
      <c r="F64" s="308"/>
      <c r="G64" s="322"/>
      <c r="H64" s="323"/>
    </row>
    <row r="65" spans="2:8" ht="14.45" x14ac:dyDescent="0.3">
      <c r="B65" s="264">
        <v>6</v>
      </c>
      <c r="C65" s="239" t="str">
        <f>D_T01!B69</f>
        <v>0.75 Inch Air Space with Furring at 16" on center</v>
      </c>
      <c r="D65" s="121">
        <f>D_T01!C69</f>
        <v>1.22</v>
      </c>
      <c r="E65" s="323"/>
      <c r="F65" s="308"/>
      <c r="G65" s="322"/>
      <c r="H65" s="323"/>
    </row>
    <row r="66" spans="2:8" ht="14.45" x14ac:dyDescent="0.3">
      <c r="B66" s="264">
        <v>7</v>
      </c>
      <c r="C66" s="239" t="str">
        <f>D_T01!B70</f>
        <v xml:space="preserve">0.5 Inch Drywall </v>
      </c>
      <c r="D66" s="121">
        <f>D_T01!C70</f>
        <v>0.45</v>
      </c>
      <c r="E66" s="323"/>
      <c r="F66" s="308"/>
      <c r="G66" s="322"/>
      <c r="H66" s="323"/>
    </row>
    <row r="67" spans="2:8" ht="14.45" x14ac:dyDescent="0.3">
      <c r="B67" s="277">
        <v>8</v>
      </c>
      <c r="C67" s="240" t="str">
        <f>D_T01!B71</f>
        <v>Indoor Air Film</v>
      </c>
      <c r="D67" s="122">
        <f>D_T01!C71</f>
        <v>0.68</v>
      </c>
      <c r="E67" s="327"/>
      <c r="F67" s="308"/>
      <c r="G67" s="322"/>
      <c r="H67" s="323"/>
    </row>
    <row r="68" spans="2:8" ht="17.25" customHeight="1" x14ac:dyDescent="0.3">
      <c r="B68" s="264"/>
      <c r="C68" s="321" t="s">
        <v>161</v>
      </c>
      <c r="D68" s="300">
        <f>SUM(D60:D67)</f>
        <v>9.6965689904981485</v>
      </c>
      <c r="E68" s="323"/>
      <c r="F68" s="308" t="s">
        <v>118</v>
      </c>
      <c r="G68" s="322"/>
      <c r="H68" s="323"/>
    </row>
    <row r="69" spans="2:8" ht="20.25" customHeight="1" x14ac:dyDescent="0.3">
      <c r="B69" s="277"/>
      <c r="C69" s="325" t="s">
        <v>160</v>
      </c>
      <c r="D69" s="123">
        <f>1/D68</f>
        <v>0.10312926159551063</v>
      </c>
      <c r="E69" s="327"/>
      <c r="F69" s="324"/>
      <c r="G69" s="326"/>
      <c r="H69" s="327"/>
    </row>
    <row r="70" spans="2:8" ht="18" customHeight="1" x14ac:dyDescent="0.3">
      <c r="F70" s="322"/>
      <c r="G70" s="322"/>
      <c r="H70" s="322"/>
    </row>
    <row r="71" spans="2:8" ht="18" customHeight="1" x14ac:dyDescent="0.3">
      <c r="F71" s="322"/>
      <c r="G71" s="322"/>
      <c r="H71" s="322"/>
    </row>
    <row r="72" spans="2:8" ht="35.25" customHeight="1" x14ac:dyDescent="0.3">
      <c r="B72" s="307" t="s">
        <v>36</v>
      </c>
      <c r="C72" s="259" t="s">
        <v>239</v>
      </c>
      <c r="F72" s="322"/>
      <c r="G72" s="322"/>
      <c r="H72" s="322"/>
    </row>
    <row r="73" spans="2:8" ht="33" customHeight="1" x14ac:dyDescent="0.3">
      <c r="B73" s="279"/>
      <c r="C73" s="271" t="s">
        <v>146</v>
      </c>
      <c r="D73" s="290" t="s">
        <v>147</v>
      </c>
      <c r="E73" s="272" t="s">
        <v>148</v>
      </c>
      <c r="F73" s="279" t="s">
        <v>142</v>
      </c>
      <c r="G73" s="332"/>
      <c r="H73" s="345"/>
    </row>
    <row r="74" spans="2:8" ht="14.45" x14ac:dyDescent="0.3">
      <c r="B74" s="318"/>
      <c r="C74" s="296" t="s">
        <v>150</v>
      </c>
      <c r="D74" s="134">
        <f>1-D_T01!C76</f>
        <v>0.75</v>
      </c>
      <c r="E74" s="124">
        <f>D_T01!C76</f>
        <v>0.25</v>
      </c>
      <c r="G74" s="322"/>
      <c r="H74" s="323"/>
    </row>
    <row r="75" spans="2:8" ht="14.45" x14ac:dyDescent="0.3">
      <c r="B75" s="264">
        <v>1</v>
      </c>
      <c r="C75" s="239" t="str">
        <f>D_T01!B80</f>
        <v>Outside Air Film (7.5 mph wind, Summer)</v>
      </c>
      <c r="D75" s="340">
        <f>D_T01!C80</f>
        <v>0.25</v>
      </c>
      <c r="E75" s="121">
        <f>D_T01!C80</f>
        <v>0.25</v>
      </c>
      <c r="F75" s="308"/>
      <c r="G75" s="322"/>
      <c r="H75" s="323"/>
    </row>
    <row r="76" spans="2:8" ht="14.45" x14ac:dyDescent="0.3">
      <c r="B76" s="264">
        <v>2</v>
      </c>
      <c r="C76" s="239" t="str">
        <f>D_T01!B81</f>
        <v>Stucco (0.8 Inch thick, conductivity=9.7 Btu-in/h-ft2-°F)</v>
      </c>
      <c r="D76" s="119">
        <f>D_T01!C81</f>
        <v>8.2474226804123724E-2</v>
      </c>
      <c r="E76" s="119">
        <f>D_T01!C81</f>
        <v>8.2474226804123724E-2</v>
      </c>
      <c r="F76" s="308"/>
      <c r="G76" s="322"/>
      <c r="H76" s="323"/>
    </row>
    <row r="77" spans="2:8" ht="14.45" x14ac:dyDescent="0.3">
      <c r="B77" s="264">
        <v>3</v>
      </c>
      <c r="C77" s="239" t="str">
        <f>D_T01!B82</f>
        <v>0.5 Inch Plywood Exterior</v>
      </c>
      <c r="D77" s="137">
        <f>D_T01!C82</f>
        <v>0.79</v>
      </c>
      <c r="E77" s="300">
        <f>D_T01!C82</f>
        <v>0.79</v>
      </c>
      <c r="F77" s="308"/>
      <c r="G77" s="322"/>
      <c r="H77" s="323"/>
    </row>
    <row r="78" spans="2:8" ht="14.45" x14ac:dyDescent="0.3">
      <c r="B78" s="264">
        <v>4</v>
      </c>
      <c r="C78" s="239" t="str">
        <f>D_T01!B83</f>
        <v>Wood Stud 2 x 4: Nominal</v>
      </c>
      <c r="D78" s="137">
        <v>0</v>
      </c>
      <c r="E78" s="300">
        <f>D_T01!C83</f>
        <v>4.38</v>
      </c>
      <c r="F78" s="308"/>
      <c r="G78" s="322"/>
      <c r="H78" s="323"/>
    </row>
    <row r="79" spans="2:8" ht="14.45" x14ac:dyDescent="0.3">
      <c r="B79" s="264">
        <v>5</v>
      </c>
      <c r="C79" s="239" t="str">
        <f>D_T01!B84</f>
        <v>Fiber Glass Batt Insulation R13</v>
      </c>
      <c r="D79" s="137">
        <f>D_T01!C84</f>
        <v>13</v>
      </c>
      <c r="E79" s="120">
        <v>0</v>
      </c>
      <c r="F79" s="308"/>
      <c r="G79" s="322"/>
      <c r="H79" s="323"/>
    </row>
    <row r="80" spans="2:8" ht="14.45" x14ac:dyDescent="0.3">
      <c r="B80" s="264">
        <v>6</v>
      </c>
      <c r="C80" s="239" t="str">
        <f>D_T01!B85</f>
        <v xml:space="preserve">0.5 Inch Drywall </v>
      </c>
      <c r="D80" s="340">
        <f>D_T01!C85</f>
        <v>0.45</v>
      </c>
      <c r="E80" s="121">
        <f>D_T01!C85</f>
        <v>0.45</v>
      </c>
      <c r="F80" s="308"/>
      <c r="G80" s="322"/>
      <c r="H80" s="323"/>
    </row>
    <row r="81" spans="2:8" ht="14.45" x14ac:dyDescent="0.3">
      <c r="B81" s="264">
        <v>7</v>
      </c>
      <c r="C81" s="239" t="str">
        <f>D_T01!B86</f>
        <v>Indoor Air Film</v>
      </c>
      <c r="D81" s="340">
        <f>D_T01!C86</f>
        <v>0.68</v>
      </c>
      <c r="E81" s="121">
        <f>D_T01!C86</f>
        <v>0.68</v>
      </c>
      <c r="F81" s="308"/>
      <c r="G81" s="322"/>
      <c r="H81" s="323"/>
    </row>
    <row r="82" spans="2:8" ht="14.45" x14ac:dyDescent="0.3">
      <c r="B82" s="264"/>
      <c r="C82" s="321" t="s">
        <v>169</v>
      </c>
      <c r="D82" s="137">
        <f>SUM(D75:D81)</f>
        <v>15.252474226804123</v>
      </c>
      <c r="E82" s="300">
        <f>SUM(E75:E81)</f>
        <v>6.6324742268041232</v>
      </c>
      <c r="F82" s="308"/>
      <c r="G82" s="322"/>
      <c r="H82" s="323"/>
    </row>
    <row r="83" spans="2:8" ht="14.45" x14ac:dyDescent="0.3">
      <c r="B83" s="324"/>
      <c r="C83" s="325" t="s">
        <v>170</v>
      </c>
      <c r="D83" s="341">
        <f>1/D82</f>
        <v>6.5563133241860375E-2</v>
      </c>
      <c r="E83" s="119">
        <f>1/E82</f>
        <v>0.15077329602860032</v>
      </c>
      <c r="F83" s="308"/>
      <c r="G83" s="322"/>
      <c r="H83" s="323"/>
    </row>
    <row r="84" spans="2:8" ht="16.5" customHeight="1" x14ac:dyDescent="0.3">
      <c r="B84" s="308"/>
      <c r="C84" s="308" t="s">
        <v>160</v>
      </c>
      <c r="D84" s="342">
        <f>D83*D74+E83*E74</f>
        <v>8.6865673938545357E-2</v>
      </c>
      <c r="E84" s="336"/>
      <c r="F84" s="308" t="s">
        <v>83</v>
      </c>
      <c r="G84" s="322"/>
      <c r="H84" s="323"/>
    </row>
    <row r="85" spans="2:8" ht="16.5" customHeight="1" x14ac:dyDescent="0.3">
      <c r="B85" s="279"/>
      <c r="C85" s="279" t="s">
        <v>161</v>
      </c>
      <c r="D85" s="139">
        <f>1/D84</f>
        <v>11.512027187027496</v>
      </c>
      <c r="E85" s="336"/>
      <c r="F85" s="277"/>
      <c r="G85" s="326"/>
      <c r="H85" s="327"/>
    </row>
    <row r="88" spans="2:8" ht="19.5" customHeight="1" x14ac:dyDescent="0.3"/>
    <row r="104" ht="20.25" customHeight="1" x14ac:dyDescent="0.25"/>
  </sheetData>
  <sheetProtection password="BDDF" sheet="1" objects="1" scenarios="1"/>
  <mergeCells count="1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3 F68 F84">
      <formula1>UCalcMethod</formula1>
    </dataValidation>
  </dataValidations>
  <pageMargins left="0.7" right="0.7" top="0.75" bottom="0.75" header="0.3" footer="0.3"/>
  <pageSetup scale="34" fitToHeight="0"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18"/>
  <sheetViews>
    <sheetView topLeftCell="A2" zoomScale="85" zoomScaleNormal="85" workbookViewId="0">
      <selection activeCell="B2" sqref="B2"/>
    </sheetView>
  </sheetViews>
  <sheetFormatPr defaultColWidth="9.140625" defaultRowHeight="12.75" x14ac:dyDescent="0.2"/>
  <cols>
    <col min="1" max="1" width="6.140625" style="162" customWidth="1"/>
    <col min="2" max="2" width="51" style="162" customWidth="1"/>
    <col min="3" max="3" width="25" style="162" customWidth="1"/>
    <col min="4" max="4" width="35.85546875" style="162" customWidth="1"/>
    <col min="5" max="5" width="13.7109375" style="162" customWidth="1"/>
    <col min="6" max="6" width="14.7109375" style="162" customWidth="1"/>
    <col min="7" max="7" width="11.85546875" style="162" customWidth="1"/>
    <col min="8" max="16384" width="9.140625" style="162"/>
  </cols>
  <sheetData>
    <row r="2" spans="1:7" x14ac:dyDescent="0.2">
      <c r="B2" s="163" t="s">
        <v>415</v>
      </c>
    </row>
    <row r="3" spans="1:7" ht="13.15" x14ac:dyDescent="0.25">
      <c r="B3" s="163" t="s">
        <v>282</v>
      </c>
      <c r="C3" s="163"/>
    </row>
    <row r="4" spans="1:7" ht="14.45" x14ac:dyDescent="0.3">
      <c r="B4" s="4" t="s">
        <v>26</v>
      </c>
    </row>
    <row r="5" spans="1:7" ht="15" customHeight="1" x14ac:dyDescent="0.25">
      <c r="B5" s="163"/>
    </row>
    <row r="6" spans="1:7" ht="47.25" customHeight="1" thickBot="1" x14ac:dyDescent="0.3">
      <c r="B6" s="436" t="s">
        <v>191</v>
      </c>
      <c r="C6" s="437" t="s">
        <v>192</v>
      </c>
      <c r="D6" s="437" t="s">
        <v>403</v>
      </c>
      <c r="E6" s="422" t="s">
        <v>209</v>
      </c>
      <c r="F6" s="423" t="s">
        <v>210</v>
      </c>
      <c r="G6" s="423" t="s">
        <v>218</v>
      </c>
    </row>
    <row r="7" spans="1:7" ht="14.25" customHeight="1" thickTop="1" x14ac:dyDescent="0.25">
      <c r="B7" s="417" t="s">
        <v>194</v>
      </c>
      <c r="C7" s="417" t="s">
        <v>245</v>
      </c>
      <c r="D7" s="417" t="s">
        <v>195</v>
      </c>
      <c r="E7" s="419"/>
      <c r="F7" s="419"/>
      <c r="G7" s="419">
        <v>2000</v>
      </c>
    </row>
    <row r="8" spans="1:7" ht="14.25" customHeight="1" x14ac:dyDescent="0.25">
      <c r="A8" s="166"/>
      <c r="B8" s="159" t="s">
        <v>0</v>
      </c>
      <c r="C8" s="159" t="s">
        <v>196</v>
      </c>
      <c r="D8" s="159" t="s">
        <v>197</v>
      </c>
      <c r="E8" s="272"/>
      <c r="F8" s="272"/>
      <c r="G8" s="272"/>
    </row>
    <row r="9" spans="1:7" ht="14.25" customHeight="1" x14ac:dyDescent="0.2">
      <c r="A9" s="166"/>
      <c r="B9" s="159" t="s">
        <v>1</v>
      </c>
      <c r="C9" s="159" t="s">
        <v>246</v>
      </c>
      <c r="D9" s="159" t="s">
        <v>297</v>
      </c>
      <c r="E9" s="272"/>
      <c r="F9" s="272">
        <v>0.75</v>
      </c>
      <c r="G9" s="272"/>
    </row>
    <row r="10" spans="1:7" ht="14.25" customHeight="1" x14ac:dyDescent="0.2">
      <c r="A10" s="166"/>
      <c r="B10" s="159" t="s">
        <v>247</v>
      </c>
      <c r="C10" s="159" t="s">
        <v>245</v>
      </c>
      <c r="D10" s="159" t="s">
        <v>260</v>
      </c>
      <c r="E10" s="220">
        <v>38</v>
      </c>
      <c r="F10" s="272"/>
      <c r="G10" s="220">
        <v>2000</v>
      </c>
    </row>
    <row r="11" spans="1:7" ht="14.25" customHeight="1" x14ac:dyDescent="0.25">
      <c r="A11" s="166"/>
      <c r="B11" s="159" t="s">
        <v>2</v>
      </c>
      <c r="C11" s="159" t="s">
        <v>248</v>
      </c>
      <c r="D11" s="159" t="s">
        <v>299</v>
      </c>
      <c r="E11" s="272">
        <v>0.65</v>
      </c>
      <c r="F11" s="272">
        <v>0.25</v>
      </c>
      <c r="G11" s="272">
        <v>10</v>
      </c>
    </row>
    <row r="12" spans="1:7" ht="14.25" customHeight="1" x14ac:dyDescent="0.2">
      <c r="A12" s="166"/>
      <c r="B12" s="159" t="s">
        <v>280</v>
      </c>
      <c r="C12" s="159" t="s">
        <v>198</v>
      </c>
      <c r="D12" s="159" t="s">
        <v>271</v>
      </c>
      <c r="E12" s="427">
        <v>6</v>
      </c>
      <c r="F12" s="155"/>
      <c r="G12" s="156">
        <f>50*10</f>
        <v>500</v>
      </c>
    </row>
    <row r="13" spans="1:7" ht="14.25" customHeight="1" x14ac:dyDescent="0.25">
      <c r="A13" s="166"/>
      <c r="B13" s="159" t="s">
        <v>3</v>
      </c>
      <c r="C13" s="159" t="s">
        <v>249</v>
      </c>
      <c r="D13" s="159" t="s">
        <v>77</v>
      </c>
      <c r="E13" s="272">
        <v>0.4</v>
      </c>
      <c r="F13" s="220">
        <v>0</v>
      </c>
      <c r="G13" s="272">
        <v>24</v>
      </c>
    </row>
    <row r="14" spans="1:7" ht="14.25" customHeight="1" x14ac:dyDescent="0.2">
      <c r="A14" s="166"/>
      <c r="B14" s="159" t="s">
        <v>4</v>
      </c>
      <c r="C14" s="159" t="s">
        <v>250</v>
      </c>
      <c r="D14" s="159" t="s">
        <v>299</v>
      </c>
      <c r="E14" s="272">
        <v>0.4</v>
      </c>
      <c r="F14" s="272">
        <v>0.25</v>
      </c>
      <c r="G14" s="272">
        <v>75</v>
      </c>
    </row>
    <row r="15" spans="1:7" ht="14.25" customHeight="1" x14ac:dyDescent="0.2">
      <c r="A15" s="166"/>
      <c r="B15" s="159" t="s">
        <v>5</v>
      </c>
      <c r="C15" s="159" t="s">
        <v>199</v>
      </c>
      <c r="D15" s="159" t="s">
        <v>271</v>
      </c>
      <c r="E15" s="157">
        <f>E12</f>
        <v>6</v>
      </c>
      <c r="F15" s="155"/>
      <c r="G15" s="157">
        <f>40*10</f>
        <v>400</v>
      </c>
    </row>
    <row r="16" spans="1:7" ht="14.25" customHeight="1" x14ac:dyDescent="0.2">
      <c r="A16" s="166"/>
      <c r="B16" s="159" t="s">
        <v>6</v>
      </c>
      <c r="C16" s="159" t="s">
        <v>250</v>
      </c>
      <c r="D16" s="159" t="s">
        <v>299</v>
      </c>
      <c r="E16" s="406">
        <f>E14</f>
        <v>0.4</v>
      </c>
      <c r="F16" s="406">
        <f>F14</f>
        <v>0.25</v>
      </c>
      <c r="G16" s="272">
        <v>75</v>
      </c>
    </row>
    <row r="17" spans="1:7" ht="14.25" customHeight="1" x14ac:dyDescent="0.2">
      <c r="A17" s="166"/>
      <c r="B17" s="159" t="s">
        <v>7</v>
      </c>
      <c r="C17" s="159" t="s">
        <v>199</v>
      </c>
      <c r="D17" s="159" t="s">
        <v>292</v>
      </c>
      <c r="E17" s="157">
        <f>E12</f>
        <v>6</v>
      </c>
      <c r="F17" s="155"/>
      <c r="G17" s="157">
        <f>40*10</f>
        <v>400</v>
      </c>
    </row>
    <row r="18" spans="1:7" ht="14.25" customHeight="1" x14ac:dyDescent="0.2">
      <c r="A18" s="166"/>
      <c r="B18" s="159" t="s">
        <v>8</v>
      </c>
      <c r="C18" s="159" t="s">
        <v>251</v>
      </c>
      <c r="D18" s="159" t="s">
        <v>299</v>
      </c>
      <c r="E18" s="406">
        <f>E14</f>
        <v>0.4</v>
      </c>
      <c r="F18" s="406">
        <f>F14</f>
        <v>0.25</v>
      </c>
      <c r="G18" s="272">
        <v>15</v>
      </c>
    </row>
    <row r="19" spans="1:7" ht="14.25" customHeight="1" x14ac:dyDescent="0.2">
      <c r="A19" s="166"/>
      <c r="B19" s="159" t="s">
        <v>281</v>
      </c>
      <c r="C19" s="159" t="s">
        <v>200</v>
      </c>
      <c r="D19" s="159" t="s">
        <v>296</v>
      </c>
      <c r="E19" s="220">
        <v>13</v>
      </c>
      <c r="F19" s="272"/>
      <c r="G19" s="272">
        <f>10*10</f>
        <v>100</v>
      </c>
    </row>
    <row r="20" spans="1:7" ht="14.25" customHeight="1" x14ac:dyDescent="0.2">
      <c r="A20" s="166"/>
      <c r="B20" s="159" t="s">
        <v>9</v>
      </c>
      <c r="C20" s="159" t="s">
        <v>252</v>
      </c>
      <c r="D20" s="159" t="s">
        <v>299</v>
      </c>
      <c r="E20" s="406">
        <f>E14</f>
        <v>0.4</v>
      </c>
      <c r="F20" s="406">
        <f>F14</f>
        <v>0.25</v>
      </c>
      <c r="G20" s="272">
        <v>60</v>
      </c>
    </row>
    <row r="21" spans="1:7" ht="14.25" customHeight="1" x14ac:dyDescent="0.2">
      <c r="A21" s="166"/>
      <c r="B21" s="159" t="s">
        <v>10</v>
      </c>
      <c r="C21" s="159" t="s">
        <v>199</v>
      </c>
      <c r="D21" s="159" t="s">
        <v>292</v>
      </c>
      <c r="E21" s="157">
        <f>E12</f>
        <v>6</v>
      </c>
      <c r="F21" s="155"/>
      <c r="G21" s="157">
        <f>40*10</f>
        <v>400</v>
      </c>
    </row>
    <row r="22" spans="1:7" ht="14.25" customHeight="1" x14ac:dyDescent="0.2">
      <c r="A22" s="166"/>
      <c r="B22" s="159" t="s">
        <v>11</v>
      </c>
      <c r="C22" s="159" t="s">
        <v>250</v>
      </c>
      <c r="D22" s="159" t="s">
        <v>299</v>
      </c>
      <c r="E22" s="406">
        <f>E14</f>
        <v>0.4</v>
      </c>
      <c r="F22" s="406">
        <f>F14</f>
        <v>0.25</v>
      </c>
      <c r="G22" s="272">
        <v>75</v>
      </c>
    </row>
    <row r="23" spans="1:7" ht="14.25" customHeight="1" x14ac:dyDescent="0.25">
      <c r="A23" s="166"/>
      <c r="B23" s="159" t="s">
        <v>12</v>
      </c>
      <c r="C23" s="159" t="s">
        <v>288</v>
      </c>
      <c r="D23" s="159" t="s">
        <v>293</v>
      </c>
      <c r="E23" s="220">
        <v>5</v>
      </c>
      <c r="F23" s="272"/>
      <c r="G23" s="272"/>
    </row>
    <row r="24" spans="1:7" ht="14.25" customHeight="1" x14ac:dyDescent="0.2">
      <c r="A24" s="166"/>
      <c r="B24" s="159" t="s">
        <v>13</v>
      </c>
      <c r="C24" s="159" t="s">
        <v>201</v>
      </c>
      <c r="D24" s="159" t="s">
        <v>294</v>
      </c>
      <c r="E24" s="272">
        <v>8.1999999999999993</v>
      </c>
      <c r="F24" s="272"/>
      <c r="G24" s="272"/>
    </row>
    <row r="25" spans="1:7" ht="14.25" customHeight="1" x14ac:dyDescent="0.2">
      <c r="A25" s="166"/>
      <c r="B25" s="159" t="s">
        <v>14</v>
      </c>
      <c r="C25" s="159" t="s">
        <v>201</v>
      </c>
      <c r="D25" s="159" t="s">
        <v>295</v>
      </c>
      <c r="E25" s="220">
        <v>14</v>
      </c>
      <c r="F25" s="272"/>
      <c r="G25" s="272"/>
    </row>
    <row r="26" spans="1:7" ht="14.25" customHeight="1" x14ac:dyDescent="0.2">
      <c r="A26" s="166"/>
      <c r="B26" s="159" t="s">
        <v>15</v>
      </c>
      <c r="C26" s="159" t="s">
        <v>202</v>
      </c>
      <c r="D26" s="159" t="s">
        <v>418</v>
      </c>
      <c r="E26" s="427">
        <v>8</v>
      </c>
      <c r="F26" s="155"/>
      <c r="G26" s="155"/>
    </row>
    <row r="27" spans="1:7" ht="14.25" customHeight="1" x14ac:dyDescent="0.2">
      <c r="A27" s="166"/>
      <c r="B27" s="159" t="s">
        <v>283</v>
      </c>
      <c r="C27" s="159" t="s">
        <v>203</v>
      </c>
      <c r="D27" s="159" t="s">
        <v>418</v>
      </c>
      <c r="E27" s="220">
        <v>6</v>
      </c>
      <c r="F27" s="272"/>
      <c r="G27" s="272"/>
    </row>
    <row r="28" spans="1:7" ht="15.75" customHeight="1" x14ac:dyDescent="0.25">
      <c r="A28" s="166"/>
      <c r="B28" s="159" t="s">
        <v>17</v>
      </c>
      <c r="C28" s="159"/>
      <c r="D28" s="159" t="s">
        <v>289</v>
      </c>
      <c r="E28" s="272">
        <v>0.04</v>
      </c>
      <c r="F28" s="272"/>
      <c r="G28" s="272"/>
    </row>
    <row r="29" spans="1:7" ht="14.25" customHeight="1" x14ac:dyDescent="0.2">
      <c r="A29" s="166"/>
      <c r="B29" s="159" t="s">
        <v>284</v>
      </c>
      <c r="C29" s="159" t="s">
        <v>201</v>
      </c>
      <c r="D29" s="159" t="s">
        <v>301</v>
      </c>
      <c r="E29" s="256">
        <v>0.02</v>
      </c>
      <c r="F29" s="272"/>
      <c r="G29" s="272"/>
    </row>
    <row r="30" spans="1:7" ht="14.25" customHeight="1" x14ac:dyDescent="0.25">
      <c r="A30" s="166"/>
      <c r="B30" s="159" t="s">
        <v>19</v>
      </c>
      <c r="C30" s="159" t="s">
        <v>204</v>
      </c>
      <c r="D30" s="159" t="s">
        <v>205</v>
      </c>
      <c r="E30" s="272" t="s">
        <v>205</v>
      </c>
      <c r="F30" s="272"/>
      <c r="G30" s="272"/>
    </row>
    <row r="31" spans="1:7" ht="14.25" customHeight="1" x14ac:dyDescent="0.25">
      <c r="A31" s="166"/>
      <c r="B31" s="159" t="s">
        <v>20</v>
      </c>
      <c r="C31" s="159" t="s">
        <v>206</v>
      </c>
      <c r="D31" s="159" t="s">
        <v>290</v>
      </c>
      <c r="E31" s="272">
        <v>0.95</v>
      </c>
      <c r="F31" s="272"/>
      <c r="G31" s="272"/>
    </row>
    <row r="32" spans="1:7" ht="14.25" customHeight="1" x14ac:dyDescent="0.25">
      <c r="A32" s="166"/>
      <c r="B32" s="159" t="s">
        <v>21</v>
      </c>
      <c r="C32" s="159" t="s">
        <v>207</v>
      </c>
      <c r="D32" s="159" t="s">
        <v>291</v>
      </c>
      <c r="E32" s="272">
        <v>3</v>
      </c>
      <c r="F32" s="272"/>
      <c r="G32" s="272"/>
    </row>
    <row r="33" spans="1:7" ht="14.25" customHeight="1" x14ac:dyDescent="0.25">
      <c r="A33" s="166"/>
      <c r="B33" s="159" t="s">
        <v>22</v>
      </c>
      <c r="C33" s="159" t="s">
        <v>195</v>
      </c>
      <c r="D33" s="159" t="s">
        <v>195</v>
      </c>
      <c r="E33" s="272" t="s">
        <v>205</v>
      </c>
      <c r="F33" s="272"/>
      <c r="G33" s="272"/>
    </row>
    <row r="34" spans="1:7" ht="14.25" customHeight="1" x14ac:dyDescent="0.25">
      <c r="A34" s="166"/>
      <c r="B34" s="159" t="s">
        <v>23</v>
      </c>
      <c r="C34" s="159" t="s">
        <v>208</v>
      </c>
      <c r="D34" s="159" t="s">
        <v>298</v>
      </c>
      <c r="E34" s="428">
        <f>75/100</f>
        <v>0.75</v>
      </c>
      <c r="F34" s="272"/>
      <c r="G34" s="272"/>
    </row>
    <row r="35" spans="1:7" ht="14.25" customHeight="1" thickBot="1" x14ac:dyDescent="0.3">
      <c r="A35" s="166"/>
      <c r="B35" s="416" t="s">
        <v>24</v>
      </c>
      <c r="C35" s="416" t="s">
        <v>195</v>
      </c>
      <c r="D35" s="416" t="s">
        <v>195</v>
      </c>
      <c r="E35" s="434" t="s">
        <v>205</v>
      </c>
      <c r="F35" s="434"/>
      <c r="G35" s="434"/>
    </row>
    <row r="36" spans="1:7" ht="14.25" customHeight="1" thickTop="1" x14ac:dyDescent="0.25">
      <c r="A36" s="166"/>
      <c r="B36" s="161"/>
      <c r="C36" s="161"/>
      <c r="D36" s="161"/>
      <c r="E36" s="129"/>
      <c r="F36" s="129"/>
      <c r="G36" s="129"/>
    </row>
    <row r="37" spans="1:7" ht="14.25" customHeight="1" thickBot="1" x14ac:dyDescent="0.3">
      <c r="A37" s="166"/>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row r="47" spans="1:7" ht="13.5" customHeight="1" x14ac:dyDescent="0.25"/>
    <row r="48" spans="1:7" ht="24" customHeight="1" x14ac:dyDescent="0.2">
      <c r="B48" s="482" t="s">
        <v>275</v>
      </c>
      <c r="C48" s="482"/>
      <c r="D48" s="482"/>
    </row>
    <row r="49" spans="1:6" ht="21" customHeight="1" x14ac:dyDescent="0.25">
      <c r="B49" s="133" t="s">
        <v>219</v>
      </c>
      <c r="F49" s="287"/>
    </row>
    <row r="50" spans="1:6" ht="14.25" customHeight="1" x14ac:dyDescent="0.25">
      <c r="B50" s="271" t="s">
        <v>217</v>
      </c>
      <c r="C50" s="167">
        <v>7.0000000000000007E-2</v>
      </c>
      <c r="D50" s="168" t="s">
        <v>257</v>
      </c>
    </row>
    <row r="51" spans="1:6" ht="15" customHeight="1" x14ac:dyDescent="0.25"/>
    <row r="52" spans="1:6" ht="15" customHeight="1" x14ac:dyDescent="0.25">
      <c r="B52" s="271" t="s">
        <v>211</v>
      </c>
      <c r="C52" s="272" t="s">
        <v>212</v>
      </c>
      <c r="D52" s="167" t="s">
        <v>149</v>
      </c>
    </row>
    <row r="53" spans="1:6" ht="14.25" customHeight="1" x14ac:dyDescent="0.25">
      <c r="B53" s="131" t="s">
        <v>151</v>
      </c>
      <c r="C53" s="169">
        <v>0.61</v>
      </c>
      <c r="D53" s="170" t="s">
        <v>152</v>
      </c>
    </row>
    <row r="54" spans="1:6" ht="14.25" customHeight="1" x14ac:dyDescent="0.25">
      <c r="B54" s="131" t="str">
        <f>"Batt Insulation R"&amp;C54</f>
        <v>Batt Insulation R38</v>
      </c>
      <c r="C54" s="222">
        <f>E10</f>
        <v>38</v>
      </c>
      <c r="D54" s="131"/>
    </row>
    <row r="55" spans="1:6" ht="14.25" customHeight="1" x14ac:dyDescent="0.25">
      <c r="B55" s="131" t="s">
        <v>153</v>
      </c>
      <c r="C55" s="169">
        <v>4.38</v>
      </c>
      <c r="D55" s="131" t="s">
        <v>154</v>
      </c>
    </row>
    <row r="56" spans="1:6" ht="14.25" customHeight="1" x14ac:dyDescent="0.25">
      <c r="B56" s="131" t="s">
        <v>215</v>
      </c>
      <c r="C56" s="169">
        <v>0.45</v>
      </c>
      <c r="D56" s="131" t="s">
        <v>155</v>
      </c>
    </row>
    <row r="57" spans="1:6" ht="14.25" customHeight="1" x14ac:dyDescent="0.25">
      <c r="B57" s="132" t="s">
        <v>156</v>
      </c>
      <c r="C57" s="171">
        <v>0.92</v>
      </c>
      <c r="D57" s="132" t="s">
        <v>157</v>
      </c>
    </row>
    <row r="60" spans="1:6" ht="13.15" x14ac:dyDescent="0.25">
      <c r="B60" s="162" t="s">
        <v>242</v>
      </c>
    </row>
    <row r="61" spans="1:6" ht="13.15" x14ac:dyDescent="0.25">
      <c r="B61" s="162" t="s">
        <v>383</v>
      </c>
    </row>
    <row r="62" spans="1:6" ht="42.75" customHeight="1" x14ac:dyDescent="0.2">
      <c r="B62" s="480" t="s">
        <v>380</v>
      </c>
      <c r="C62" s="480"/>
      <c r="D62" s="480"/>
    </row>
    <row r="63" spans="1:6" ht="27.75" customHeight="1" x14ac:dyDescent="0.2">
      <c r="A63" s="172"/>
      <c r="B63" s="271" t="s">
        <v>211</v>
      </c>
      <c r="C63" s="272" t="s">
        <v>212</v>
      </c>
      <c r="D63" s="173" t="s">
        <v>149</v>
      </c>
      <c r="E63" s="172"/>
      <c r="F63" s="172"/>
    </row>
    <row r="64" spans="1:6" ht="14.25" customHeight="1" x14ac:dyDescent="0.2">
      <c r="A64" s="169"/>
      <c r="B64" s="130" t="s">
        <v>162</v>
      </c>
      <c r="C64" s="173">
        <v>0.25</v>
      </c>
      <c r="D64" s="174" t="s">
        <v>157</v>
      </c>
      <c r="E64" s="172"/>
      <c r="F64" s="172"/>
    </row>
    <row r="65" spans="1:6" ht="14.25" customHeight="1" x14ac:dyDescent="0.2">
      <c r="A65" s="169"/>
      <c r="B65" s="131" t="s">
        <v>221</v>
      </c>
      <c r="C65" s="175">
        <f>0.8/9.7</f>
        <v>8.2474226804123724E-2</v>
      </c>
      <c r="D65" s="131" t="s">
        <v>163</v>
      </c>
      <c r="E65" s="172"/>
      <c r="F65" s="172"/>
    </row>
    <row r="66" spans="1:6" ht="14.25" customHeight="1" x14ac:dyDescent="0.2">
      <c r="A66" s="169"/>
      <c r="B66" s="131" t="s">
        <v>276</v>
      </c>
      <c r="C66" s="176">
        <v>0</v>
      </c>
      <c r="D66" s="131"/>
      <c r="E66" s="172"/>
      <c r="F66" s="172"/>
    </row>
    <row r="67" spans="1:6" ht="14.25" customHeight="1" x14ac:dyDescent="0.2">
      <c r="A67" s="169"/>
      <c r="B67" s="131" t="s">
        <v>213</v>
      </c>
      <c r="C67" s="177">
        <f>C106</f>
        <v>1.0140947636940258</v>
      </c>
      <c r="D67" s="131" t="s">
        <v>165</v>
      </c>
      <c r="E67" s="172"/>
      <c r="F67" s="172"/>
    </row>
    <row r="68" spans="1:6" ht="14.25" customHeight="1" x14ac:dyDescent="0.2">
      <c r="A68" s="169"/>
      <c r="B68" s="131" t="str">
        <f>"1 Inch"&amp;" R"&amp;C68&amp;" "&amp;"Insulation Board"</f>
        <v>1 Inch R6 Insulation Board</v>
      </c>
      <c r="C68" s="448">
        <f>E12</f>
        <v>6</v>
      </c>
      <c r="D68" s="131"/>
      <c r="E68" s="172"/>
      <c r="F68" s="172"/>
    </row>
    <row r="69" spans="1:6" ht="14.25" customHeight="1" x14ac:dyDescent="0.2">
      <c r="A69" s="169"/>
      <c r="B69" s="131" t="s">
        <v>214</v>
      </c>
      <c r="C69" s="178">
        <v>1.22</v>
      </c>
      <c r="D69" s="131" t="s">
        <v>166</v>
      </c>
      <c r="E69" s="172"/>
      <c r="F69" s="172"/>
    </row>
    <row r="70" spans="1:6" ht="14.25" customHeight="1" x14ac:dyDescent="0.2">
      <c r="A70" s="169"/>
      <c r="B70" s="131" t="s">
        <v>215</v>
      </c>
      <c r="C70" s="178">
        <v>0.45</v>
      </c>
      <c r="D70" s="131" t="s">
        <v>155</v>
      </c>
      <c r="E70" s="172"/>
    </row>
    <row r="71" spans="1:6" ht="14.25" customHeight="1" x14ac:dyDescent="0.2">
      <c r="A71" s="169"/>
      <c r="B71" s="132" t="s">
        <v>167</v>
      </c>
      <c r="C71" s="179">
        <v>0.68</v>
      </c>
      <c r="D71" s="132" t="s">
        <v>157</v>
      </c>
      <c r="E71" s="172"/>
      <c r="F71" s="172"/>
    </row>
    <row r="72" spans="1:6" ht="13.5" customHeight="1" x14ac:dyDescent="0.2"/>
    <row r="73" spans="1:6" ht="13.5" customHeight="1" x14ac:dyDescent="0.2"/>
    <row r="74" spans="1:6" ht="13.5" customHeight="1" x14ac:dyDescent="0.2">
      <c r="A74" s="162" t="s">
        <v>242</v>
      </c>
    </row>
    <row r="75" spans="1:6" ht="36.75" customHeight="1" x14ac:dyDescent="0.2">
      <c r="B75" s="480" t="s">
        <v>381</v>
      </c>
      <c r="C75" s="480"/>
      <c r="D75" s="480"/>
      <c r="E75" s="180"/>
    </row>
    <row r="76" spans="1:6" ht="16.5" customHeight="1" x14ac:dyDescent="0.2">
      <c r="A76" s="180"/>
      <c r="B76" s="271" t="s">
        <v>222</v>
      </c>
      <c r="C76" s="269">
        <f>0.25</f>
        <v>0.25</v>
      </c>
      <c r="D76" s="272"/>
      <c r="E76" s="180"/>
    </row>
    <row r="77" spans="1:6" ht="13.5" customHeight="1" x14ac:dyDescent="0.2">
      <c r="A77" s="172"/>
      <c r="E77" s="129"/>
    </row>
    <row r="78" spans="1:6" ht="16.5" customHeight="1" x14ac:dyDescent="0.2">
      <c r="B78" s="133" t="s">
        <v>220</v>
      </c>
      <c r="E78" s="181"/>
    </row>
    <row r="79" spans="1:6" ht="16.5" customHeight="1" x14ac:dyDescent="0.2">
      <c r="B79" s="271" t="s">
        <v>211</v>
      </c>
      <c r="C79" s="272" t="s">
        <v>212</v>
      </c>
      <c r="D79" s="167" t="s">
        <v>149</v>
      </c>
      <c r="E79" s="181"/>
    </row>
    <row r="80" spans="1:6" ht="15.75" customHeight="1" x14ac:dyDescent="0.2">
      <c r="A80" s="169"/>
      <c r="B80" s="130" t="s">
        <v>162</v>
      </c>
      <c r="C80" s="182">
        <v>0.25</v>
      </c>
      <c r="D80" s="174" t="s">
        <v>157</v>
      </c>
      <c r="E80" s="183"/>
    </row>
    <row r="81" spans="1:7" ht="15.75" customHeight="1" x14ac:dyDescent="0.2">
      <c r="A81" s="169"/>
      <c r="B81" s="131" t="s">
        <v>221</v>
      </c>
      <c r="C81" s="175">
        <f>0.8/9.7</f>
        <v>8.2474226804123724E-2</v>
      </c>
      <c r="D81" s="184" t="s">
        <v>163</v>
      </c>
      <c r="E81" s="183"/>
    </row>
    <row r="82" spans="1:7" ht="15.75" customHeight="1" x14ac:dyDescent="0.2">
      <c r="A82" s="169"/>
      <c r="B82" s="131" t="s">
        <v>277</v>
      </c>
      <c r="C82" s="183">
        <v>0.79</v>
      </c>
      <c r="D82" s="185" t="s">
        <v>155</v>
      </c>
      <c r="E82" s="186"/>
    </row>
    <row r="83" spans="1:7" ht="15.75" customHeight="1" x14ac:dyDescent="0.2">
      <c r="A83" s="169"/>
      <c r="B83" s="131" t="s">
        <v>153</v>
      </c>
      <c r="C83" s="183">
        <v>4.38</v>
      </c>
      <c r="D83" s="185" t="s">
        <v>154</v>
      </c>
      <c r="E83" s="169"/>
    </row>
    <row r="84" spans="1:7" ht="15.75" customHeight="1" x14ac:dyDescent="0.2">
      <c r="A84" s="169"/>
      <c r="B84" s="131" t="str">
        <f>"Fiber Glass Batt Insulation"&amp;" R"&amp;C84</f>
        <v>Fiber Glass Batt Insulation R13</v>
      </c>
      <c r="C84" s="221">
        <f>E19</f>
        <v>13</v>
      </c>
      <c r="D84" s="187"/>
      <c r="E84" s="169"/>
    </row>
    <row r="85" spans="1:7" ht="15.75" customHeight="1" x14ac:dyDescent="0.2">
      <c r="A85" s="169"/>
      <c r="B85" s="131" t="s">
        <v>215</v>
      </c>
      <c r="C85" s="169">
        <v>0.45</v>
      </c>
      <c r="D85" s="170" t="s">
        <v>155</v>
      </c>
    </row>
    <row r="86" spans="1:7" ht="15.75" customHeight="1" x14ac:dyDescent="0.2">
      <c r="A86" s="169"/>
      <c r="B86" s="132" t="s">
        <v>167</v>
      </c>
      <c r="C86" s="171">
        <v>0.68</v>
      </c>
      <c r="D86" s="188" t="s">
        <v>157</v>
      </c>
    </row>
    <row r="87" spans="1:7" ht="14.25" customHeight="1" x14ac:dyDescent="0.2"/>
    <row r="88" spans="1:7" ht="14.25" customHeight="1" x14ac:dyDescent="0.2"/>
    <row r="89" spans="1:7" ht="14.25" customHeight="1" x14ac:dyDescent="0.2"/>
    <row r="90" spans="1:7" ht="14.25" customHeight="1" x14ac:dyDescent="0.2"/>
    <row r="91" spans="1:7" ht="16.5" customHeight="1" x14ac:dyDescent="0.2">
      <c r="A91" s="172"/>
      <c r="B91" s="168" t="s">
        <v>223</v>
      </c>
      <c r="C91" s="189"/>
      <c r="D91" s="130"/>
      <c r="E91" s="172"/>
      <c r="F91" s="172"/>
      <c r="G91" s="172"/>
    </row>
    <row r="92" spans="1:7" ht="16.5" customHeight="1" x14ac:dyDescent="0.2">
      <c r="A92" s="172"/>
      <c r="B92" s="271" t="s">
        <v>258</v>
      </c>
      <c r="C92" s="190" t="s">
        <v>171</v>
      </c>
      <c r="D92" s="167" t="s">
        <v>172</v>
      </c>
      <c r="E92" s="169"/>
      <c r="F92" s="172"/>
      <c r="G92" s="172"/>
    </row>
    <row r="93" spans="1:7" ht="15.75" customHeight="1" x14ac:dyDescent="0.2">
      <c r="A93" s="172"/>
      <c r="B93" s="191" t="s">
        <v>173</v>
      </c>
      <c r="C93" s="192">
        <v>7.625</v>
      </c>
      <c r="D93" s="173" t="s">
        <v>174</v>
      </c>
      <c r="E93" s="172"/>
      <c r="F93" s="172"/>
      <c r="G93" s="172"/>
    </row>
    <row r="94" spans="1:7" ht="15.75" customHeight="1" x14ac:dyDescent="0.2">
      <c r="A94" s="172"/>
      <c r="B94" s="193" t="s">
        <v>175</v>
      </c>
      <c r="C94" s="194">
        <v>7.625</v>
      </c>
      <c r="D94" s="178" t="s">
        <v>174</v>
      </c>
      <c r="E94" s="172"/>
      <c r="F94" s="172"/>
      <c r="G94" s="172"/>
    </row>
    <row r="95" spans="1:7" ht="15.75" customHeight="1" x14ac:dyDescent="0.2">
      <c r="A95" s="172"/>
      <c r="B95" s="193" t="s">
        <v>176</v>
      </c>
      <c r="C95" s="195">
        <v>15.625</v>
      </c>
      <c r="D95" s="178" t="s">
        <v>174</v>
      </c>
      <c r="E95" s="172"/>
      <c r="F95" s="172"/>
      <c r="G95" s="172"/>
    </row>
    <row r="96" spans="1:7" ht="15.75" customHeight="1" x14ac:dyDescent="0.2">
      <c r="A96" s="172"/>
      <c r="B96" s="193" t="s">
        <v>177</v>
      </c>
      <c r="C96" s="196">
        <v>1</v>
      </c>
      <c r="D96" s="178" t="s">
        <v>174</v>
      </c>
      <c r="E96" s="172"/>
      <c r="F96" s="172"/>
      <c r="G96" s="172"/>
    </row>
    <row r="97" spans="1:7" ht="15.75" customHeight="1" x14ac:dyDescent="0.2">
      <c r="A97" s="172"/>
      <c r="B97" s="193" t="s">
        <v>178</v>
      </c>
      <c r="C97" s="195">
        <v>1.25</v>
      </c>
      <c r="D97" s="178" t="s">
        <v>174</v>
      </c>
      <c r="E97" s="172"/>
      <c r="F97" s="172"/>
      <c r="G97" s="172"/>
    </row>
    <row r="98" spans="1:7" ht="15.75" customHeight="1" x14ac:dyDescent="0.2">
      <c r="A98" s="172"/>
      <c r="B98" s="193" t="s">
        <v>179</v>
      </c>
      <c r="C98" s="197">
        <v>0.1</v>
      </c>
      <c r="D98" s="178" t="s">
        <v>188</v>
      </c>
      <c r="E98" s="172"/>
      <c r="F98" s="172"/>
      <c r="G98" s="172"/>
    </row>
    <row r="99" spans="1:7" ht="15.75" customHeight="1" x14ac:dyDescent="0.2">
      <c r="A99" s="172"/>
      <c r="B99" s="193" t="s">
        <v>265</v>
      </c>
      <c r="C99" s="194">
        <v>0.86499999999999999</v>
      </c>
      <c r="D99" s="178" t="s">
        <v>188</v>
      </c>
      <c r="E99" s="172"/>
      <c r="F99" s="172"/>
      <c r="G99" s="172"/>
    </row>
    <row r="100" spans="1:7" ht="13.5" customHeight="1" x14ac:dyDescent="0.2">
      <c r="A100" s="172"/>
      <c r="B100" s="193"/>
      <c r="C100" s="195"/>
      <c r="D100" s="178"/>
      <c r="E100" s="172"/>
      <c r="F100" s="172"/>
      <c r="G100" s="172"/>
    </row>
    <row r="101" spans="1:7" ht="15.75" customHeight="1" x14ac:dyDescent="0.2">
      <c r="A101" s="172"/>
      <c r="B101" s="193" t="s">
        <v>181</v>
      </c>
      <c r="C101" s="198">
        <f>2*C97*C98</f>
        <v>0.25</v>
      </c>
      <c r="D101" s="178" t="s">
        <v>188</v>
      </c>
      <c r="E101" s="172"/>
      <c r="F101" s="172"/>
      <c r="G101" s="172"/>
    </row>
    <row r="102" spans="1:7" ht="15.75" customHeight="1" x14ac:dyDescent="0.2">
      <c r="A102" s="172"/>
      <c r="B102" s="193" t="s">
        <v>182</v>
      </c>
      <c r="C102" s="198">
        <f>(C93-2*C97)*C98</f>
        <v>0.51250000000000007</v>
      </c>
      <c r="D102" s="178" t="s">
        <v>188</v>
      </c>
      <c r="E102" s="172"/>
      <c r="F102" s="172"/>
      <c r="G102" s="172"/>
    </row>
    <row r="103" spans="1:7" ht="15.75" customHeight="1" x14ac:dyDescent="0.2">
      <c r="A103" s="172"/>
      <c r="B103" s="193" t="s">
        <v>266</v>
      </c>
      <c r="C103" s="243">
        <f>C99</f>
        <v>0.86499999999999999</v>
      </c>
      <c r="D103" s="178" t="s">
        <v>188</v>
      </c>
      <c r="E103" s="172"/>
      <c r="F103" s="172"/>
      <c r="G103" s="172"/>
    </row>
    <row r="104" spans="1:7" ht="15.75" customHeight="1" x14ac:dyDescent="0.2">
      <c r="A104" s="172"/>
      <c r="B104" s="193" t="s">
        <v>184</v>
      </c>
      <c r="C104" s="198">
        <f>3*C96/C95</f>
        <v>0.192</v>
      </c>
      <c r="D104" s="178" t="s">
        <v>185</v>
      </c>
      <c r="E104" s="172"/>
      <c r="F104" s="172"/>
      <c r="G104" s="172"/>
    </row>
    <row r="105" spans="1:7" ht="15.75" customHeight="1" x14ac:dyDescent="0.2">
      <c r="A105" s="172"/>
      <c r="B105" s="199" t="s">
        <v>186</v>
      </c>
      <c r="C105" s="200">
        <f>(C95-3*C96)/C95</f>
        <v>0.80800000000000005</v>
      </c>
      <c r="D105" s="178" t="s">
        <v>185</v>
      </c>
      <c r="E105" s="172"/>
      <c r="F105" s="172"/>
      <c r="G105" s="172"/>
    </row>
    <row r="106" spans="1:7" ht="16.5" customHeight="1" x14ac:dyDescent="0.2">
      <c r="A106" s="172"/>
      <c r="B106" s="201" t="s">
        <v>187</v>
      </c>
      <c r="C106" s="449">
        <f>C101+1/(C104/C102+C105/C103)</f>
        <v>1.0140947636940258</v>
      </c>
      <c r="D106" s="167" t="s">
        <v>188</v>
      </c>
      <c r="E106" s="172"/>
      <c r="F106" s="172"/>
      <c r="G106" s="172"/>
    </row>
    <row r="108" spans="1:7" x14ac:dyDescent="0.2">
      <c r="B108" s="202"/>
    </row>
    <row r="109" spans="1:7" ht="15" customHeight="1" x14ac:dyDescent="0.2">
      <c r="B109" s="202" t="s">
        <v>189</v>
      </c>
    </row>
    <row r="110" spans="1:7" ht="34.5" customHeight="1" x14ac:dyDescent="0.2">
      <c r="B110" s="481" t="s">
        <v>190</v>
      </c>
      <c r="C110" s="481"/>
      <c r="D110" s="481"/>
    </row>
    <row r="114" spans="1:3" x14ac:dyDescent="0.2">
      <c r="C114" s="202"/>
    </row>
    <row r="115" spans="1:3" x14ac:dyDescent="0.2">
      <c r="A115" s="166"/>
    </row>
    <row r="116" spans="1:3" x14ac:dyDescent="0.2">
      <c r="A116" s="166"/>
    </row>
    <row r="117" spans="1:3" x14ac:dyDescent="0.2">
      <c r="A117" s="166"/>
    </row>
    <row r="118" spans="1:3" x14ac:dyDescent="0.2">
      <c r="A118" s="166"/>
    </row>
  </sheetData>
  <sheetProtection password="BDDF" sheet="1" objects="1" scenarios="1"/>
  <mergeCells count="4">
    <mergeCell ref="B75:D75"/>
    <mergeCell ref="B110:D110"/>
    <mergeCell ref="B62:D62"/>
    <mergeCell ref="B48:D48"/>
  </mergeCells>
  <pageMargins left="0.7" right="0.7" top="0.75" bottom="0.75" header="0.3" footer="0.3"/>
  <pageSetup scale="55" orientation="portrait" r:id="rId1"/>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zoomScale="78" zoomScaleNormal="78" workbookViewId="0">
      <selection activeCell="G13" sqref="G13"/>
    </sheetView>
  </sheetViews>
  <sheetFormatPr defaultColWidth="9.140625" defaultRowHeight="15" x14ac:dyDescent="0.25"/>
  <cols>
    <col min="1" max="1" width="4.42578125" style="258" customWidth="1"/>
    <col min="2" max="2" width="46.7109375" style="258" customWidth="1"/>
    <col min="3" max="3" width="23.140625" style="258" customWidth="1"/>
    <col min="4" max="4" width="20.28515625" style="258" customWidth="1"/>
    <col min="5" max="5" width="21" style="258" customWidth="1"/>
    <col min="6" max="6" width="20.140625" style="258" customWidth="1"/>
    <col min="7" max="7" width="26.28515625" style="258" customWidth="1"/>
    <col min="8" max="8" width="26.28515625" style="258" hidden="1" customWidth="1"/>
    <col min="9" max="9" width="24.7109375" style="258" customWidth="1"/>
    <col min="10" max="16384" width="9.140625" style="258"/>
  </cols>
  <sheetData>
    <row r="1" spans="1:8" ht="7.5" customHeight="1" x14ac:dyDescent="0.3">
      <c r="A1" s="13"/>
      <c r="B1" s="13"/>
      <c r="C1" s="13"/>
      <c r="D1" s="13"/>
      <c r="E1" s="13"/>
      <c r="F1" s="13"/>
      <c r="G1" s="13"/>
    </row>
    <row r="3" spans="1:8" ht="34.5" customHeight="1" x14ac:dyDescent="0.3">
      <c r="B3" s="260" t="s">
        <v>25</v>
      </c>
      <c r="C3" s="260" t="s">
        <v>27</v>
      </c>
      <c r="D3" s="469" t="str">
        <f>IF(Instructions!D2="","Enter Vendor's Software Name In Instruction Sheet",Instructions!D2)</f>
        <v>Enter Vendor's Software Name In Instruction Sheet</v>
      </c>
      <c r="E3" s="469"/>
    </row>
    <row r="4" spans="1:8" ht="15" customHeight="1" x14ac:dyDescent="0.3">
      <c r="B4" s="328" t="str">
        <f>D_T02!B2</f>
        <v xml:space="preserve">Prescriptive Test: House T02 (Pr-T02) Characteristics – Location: Tampa, Florida. </v>
      </c>
      <c r="C4" s="328"/>
      <c r="D4" s="328"/>
      <c r="E4" s="328"/>
    </row>
    <row r="5" spans="1:8" ht="15" customHeight="1" x14ac:dyDescent="0.3">
      <c r="B5" s="328" t="str">
        <f>D_T02!B3</f>
        <v>Single Family Detached Home with No Attached Garage, Single Story, Three bedroom.</v>
      </c>
      <c r="C5" s="328"/>
      <c r="D5" s="328"/>
      <c r="E5" s="328"/>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1" t="str">
        <f>D_T02!B4</f>
        <v>House Pr-T02</v>
      </c>
      <c r="C9" s="10" t="s">
        <v>243</v>
      </c>
      <c r="D9" s="117" t="s">
        <v>75</v>
      </c>
      <c r="E9" s="4"/>
    </row>
    <row r="10" spans="1:8" thickBot="1" x14ac:dyDescent="0.35">
      <c r="C10" s="10" t="s">
        <v>86</v>
      </c>
      <c r="D10" s="10" t="s">
        <v>29</v>
      </c>
      <c r="E10" s="4"/>
    </row>
    <row r="11" spans="1:8" thickBot="1" x14ac:dyDescent="0.35">
      <c r="B11" s="248" t="str">
        <f>D_T02!B8</f>
        <v>Slab-on-grade Floor</v>
      </c>
      <c r="C11" s="104"/>
      <c r="D11" s="106" t="str">
        <f>IF(C11="Complies","Pass","Fail")</f>
        <v>Fail</v>
      </c>
      <c r="E11" s="6"/>
      <c r="H11" s="9">
        <f t="shared" ref="H11:H23" si="0">IF(OR(D11="Not applicable",D11="Software Doesn't Check",D11="Pass"),0,1)</f>
        <v>1</v>
      </c>
    </row>
    <row r="12" spans="1:8" ht="15.75" thickBot="1" x14ac:dyDescent="0.3">
      <c r="B12" s="249" t="str">
        <f>D_T02!B9</f>
        <v>Roof – gable type- 5 in 12 slope No overhangs</v>
      </c>
      <c r="C12" s="104"/>
      <c r="D12" s="106" t="str">
        <f>IF(C12="Complies","Pass","Fail")</f>
        <v>Fail</v>
      </c>
      <c r="E12" s="6"/>
      <c r="H12" s="9">
        <f t="shared" si="0"/>
        <v>1</v>
      </c>
    </row>
    <row r="13" spans="1:8" ht="15.75" thickBot="1" x14ac:dyDescent="0.3">
      <c r="B13" s="249" t="str">
        <f>D_T02!B10</f>
        <v>Ceiling1 –flat under attic</v>
      </c>
      <c r="C13" s="104"/>
      <c r="D13" s="106" t="str">
        <f>IF(C13="Complies","Pass","Fail")</f>
        <v>Fail</v>
      </c>
      <c r="E13" s="6"/>
      <c r="H13" s="9">
        <f t="shared" si="0"/>
        <v>1</v>
      </c>
    </row>
    <row r="14" spans="1:8" thickBot="1" x14ac:dyDescent="0.35">
      <c r="B14" s="249" t="str">
        <f>D_T02!B11</f>
        <v xml:space="preserve">        Skylight</v>
      </c>
      <c r="C14" s="104"/>
      <c r="D14" s="106" t="str">
        <f>IF(C14="Complies","Pass","Fail")</f>
        <v>Fail</v>
      </c>
      <c r="E14" s="6"/>
      <c r="H14" s="9">
        <f t="shared" si="0"/>
        <v>1</v>
      </c>
    </row>
    <row r="15" spans="1:8" ht="15.75" thickBot="1" x14ac:dyDescent="0.3">
      <c r="B15" s="249" t="str">
        <f>D_T02!B12</f>
        <v>Wall 1 –faces North, CBS2</v>
      </c>
      <c r="C15" s="104"/>
      <c r="D15" s="106" t="str">
        <f>IF(C15="Complies","Pass","Fail")</f>
        <v>Fail</v>
      </c>
      <c r="E15" s="6"/>
      <c r="H15" s="9">
        <f t="shared" si="0"/>
        <v>1</v>
      </c>
    </row>
    <row r="16" spans="1:8" thickBot="1" x14ac:dyDescent="0.35">
      <c r="B16" s="249" t="str">
        <f>D_T02!B13</f>
        <v xml:space="preserve">        Door 1 </v>
      </c>
      <c r="C16" s="107" t="s">
        <v>63</v>
      </c>
      <c r="D16" s="106" t="s">
        <v>63</v>
      </c>
      <c r="E16" s="6"/>
      <c r="H16" s="9">
        <f t="shared" si="0"/>
        <v>0</v>
      </c>
    </row>
    <row r="17" spans="2:8" ht="15.75" thickBot="1" x14ac:dyDescent="0.3">
      <c r="B17" s="249" t="str">
        <f>D_T02!B14</f>
        <v xml:space="preserve">        Window 1 – Metal Frame Double Clear</v>
      </c>
      <c r="C17" s="107" t="s">
        <v>63</v>
      </c>
      <c r="D17" s="106" t="s">
        <v>63</v>
      </c>
      <c r="E17" s="6"/>
      <c r="H17" s="9">
        <f t="shared" si="0"/>
        <v>0</v>
      </c>
    </row>
    <row r="18" spans="2:8" ht="15.75" thickBot="1" x14ac:dyDescent="0.3">
      <c r="B18" s="249" t="str">
        <f>D_T02!B15</f>
        <v>Wall 2 –faces East, CBS</v>
      </c>
      <c r="C18" s="104"/>
      <c r="D18" s="106" t="str">
        <f>IF(C18="Complies","Pass","Fail")</f>
        <v>Fail</v>
      </c>
      <c r="E18" s="6"/>
      <c r="H18" s="9">
        <f t="shared" si="0"/>
        <v>1</v>
      </c>
    </row>
    <row r="19" spans="2:8" ht="15.75" thickBot="1" x14ac:dyDescent="0.3">
      <c r="B19" s="249" t="str">
        <f>D_T02!B16</f>
        <v xml:space="preserve">        Window 2 – Vinyl Frame Low-e Double</v>
      </c>
      <c r="C19" s="107" t="s">
        <v>63</v>
      </c>
      <c r="D19" s="106" t="s">
        <v>63</v>
      </c>
      <c r="E19" s="6"/>
      <c r="H19" s="9">
        <f t="shared" si="0"/>
        <v>0</v>
      </c>
    </row>
    <row r="20" spans="2:8" ht="15.75" thickBot="1" x14ac:dyDescent="0.3">
      <c r="B20" s="249" t="str">
        <f>D_T02!B17</f>
        <v>Wall 3 –faces South, CBS</v>
      </c>
      <c r="C20" s="104"/>
      <c r="D20" s="106" t="str">
        <f>IF(C20="Complies","Pass","Fail")</f>
        <v>Fail</v>
      </c>
      <c r="E20" s="6"/>
      <c r="H20" s="9">
        <f t="shared" si="0"/>
        <v>1</v>
      </c>
    </row>
    <row r="21" spans="2:8" ht="15.75" thickBot="1" x14ac:dyDescent="0.3">
      <c r="B21" s="249" t="str">
        <f>D_T02!B18</f>
        <v xml:space="preserve">        Window 3 – Metal Frame, Single Pane</v>
      </c>
      <c r="C21" s="107" t="s">
        <v>63</v>
      </c>
      <c r="D21" s="106" t="s">
        <v>63</v>
      </c>
      <c r="E21" s="6"/>
      <c r="H21" s="9">
        <f t="shared" si="0"/>
        <v>0</v>
      </c>
    </row>
    <row r="22" spans="2:8" ht="15.75" thickBot="1" x14ac:dyDescent="0.3">
      <c r="B22" s="249" t="str">
        <f>D_T02!B19</f>
        <v>Wall 4 –faces South, Wood3 2x4 Studs</v>
      </c>
      <c r="C22" s="104"/>
      <c r="D22" s="106" t="str">
        <f>IF(C22="Complies","Pass","Fail")</f>
        <v>Fail</v>
      </c>
      <c r="E22" s="6"/>
      <c r="H22" s="9">
        <f t="shared" si="0"/>
        <v>1</v>
      </c>
    </row>
    <row r="23" spans="2:8" ht="15.75" thickBot="1" x14ac:dyDescent="0.3">
      <c r="B23" s="249" t="str">
        <f>D_T02!B20</f>
        <v xml:space="preserve">        Window 4 – Vinyl Frame  Low-e Double</v>
      </c>
      <c r="C23" s="107" t="s">
        <v>63</v>
      </c>
      <c r="D23" s="106" t="s">
        <v>63</v>
      </c>
      <c r="E23" s="6"/>
      <c r="H23" s="9">
        <f t="shared" si="0"/>
        <v>0</v>
      </c>
    </row>
    <row r="24" spans="2:8" ht="15.75" thickBot="1" x14ac:dyDescent="0.3">
      <c r="B24" s="249" t="str">
        <f>D_T02!B21</f>
        <v>Wall 5 –faces West, CBS</v>
      </c>
      <c r="C24" s="104"/>
      <c r="D24" s="106" t="str">
        <f>IF(C24="Complies","Pass","Fail")</f>
        <v>Fail</v>
      </c>
      <c r="E24" s="6"/>
      <c r="H24" s="9">
        <f>IF(OR(D24="Not applicable",D24="Software Doesn't Check",D24="Pass"),0,1)</f>
        <v>1</v>
      </c>
    </row>
    <row r="25" spans="2:8" ht="15.75" thickBot="1" x14ac:dyDescent="0.3">
      <c r="B25" s="249" t="str">
        <f>D_T02!B22</f>
        <v xml:space="preserve">        Window 5 – Vinyl Frame Low-e Double</v>
      </c>
      <c r="C25" s="108" t="s">
        <v>63</v>
      </c>
      <c r="D25" s="106" t="str">
        <f>IF(C25="Complies","Pass","Fail")</f>
        <v>Fail</v>
      </c>
      <c r="E25" s="6"/>
      <c r="H25" s="9">
        <f t="shared" ref="H25:H46" si="1">IF(OR(D25="Not applicable",D25="Software Doesn't Check",D25="Pass"),0,1)</f>
        <v>1</v>
      </c>
    </row>
    <row r="26" spans="2:8" thickBot="1" x14ac:dyDescent="0.35">
      <c r="B26" s="249" t="str">
        <f>D_T02!B23</f>
        <v>Infiltration</v>
      </c>
      <c r="C26" s="109"/>
      <c r="D26" s="106" t="str">
        <f>IF(C26="Complies","Pass",IF(C26="Not part of software","Software Doesn't Check","Fail"))</f>
        <v>Fail</v>
      </c>
      <c r="E26" s="6"/>
      <c r="H26" s="9">
        <f t="shared" si="1"/>
        <v>1</v>
      </c>
    </row>
    <row r="27" spans="2:8" ht="15.75" thickBot="1" x14ac:dyDescent="0.3">
      <c r="B27" s="249" t="str">
        <f>D_T02!B24</f>
        <v>Heating – heat pump</v>
      </c>
      <c r="C27" s="114"/>
      <c r="D27" s="106" t="str">
        <f>IF(C27="Complies","Pass",IF(C27="Not part of software","Software Doesn't Check","Fail"))</f>
        <v>Fail</v>
      </c>
      <c r="E27" s="6"/>
      <c r="H27" s="9">
        <f t="shared" si="1"/>
        <v>1</v>
      </c>
    </row>
    <row r="28" spans="2:8" ht="15.75" thickBot="1" x14ac:dyDescent="0.3">
      <c r="B28" s="249" t="str">
        <f>D_T02!B25</f>
        <v>Cooling – heat pump</v>
      </c>
      <c r="C28" s="104"/>
      <c r="D28" s="106" t="str">
        <f>IF(C28="Complies","Pass",IF(C28="Not part of software","Software Doesn't Check","Fail"))</f>
        <v>Fail</v>
      </c>
      <c r="E28" s="6"/>
      <c r="H28" s="9">
        <f t="shared" si="1"/>
        <v>1</v>
      </c>
    </row>
    <row r="29" spans="2:8" ht="15.75" thickBot="1" x14ac:dyDescent="0.3">
      <c r="B29" s="249" t="str">
        <f>D_T02!B26</f>
        <v>Ducts – supply in attic</v>
      </c>
      <c r="C29" s="104"/>
      <c r="D29" s="106" t="str">
        <f>IF(C29="Complies","Pass",IF(C29="Not part of software","Software Doesn't Check","Fail"))</f>
        <v>Fail</v>
      </c>
      <c r="E29" s="6"/>
      <c r="H29" s="9">
        <f t="shared" si="1"/>
        <v>1</v>
      </c>
    </row>
    <row r="30" spans="2:8" ht="15.75" thickBot="1" x14ac:dyDescent="0.3">
      <c r="B30" s="249" t="str">
        <f>D_T02!B27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D_T02!B28</f>
        <v>Duct Tightness</v>
      </c>
      <c r="C31" s="104"/>
      <c r="D31" s="106" t="str">
        <f t="shared" si="2"/>
        <v>Fail</v>
      </c>
      <c r="E31" s="6"/>
      <c r="H31" s="9">
        <f t="shared" si="1"/>
        <v>1</v>
      </c>
    </row>
    <row r="32" spans="2:8" ht="15.75" thickBot="1" x14ac:dyDescent="0.3">
      <c r="B32" s="249" t="str">
        <f>D_T02!B29</f>
        <v>Air Handler – in Conditioned Space</v>
      </c>
      <c r="C32" s="104"/>
      <c r="D32" s="106" t="str">
        <f t="shared" si="2"/>
        <v>Fail</v>
      </c>
      <c r="E32" s="6"/>
      <c r="H32" s="9">
        <f t="shared" si="1"/>
        <v>1</v>
      </c>
    </row>
    <row r="33" spans="1:8" thickBot="1" x14ac:dyDescent="0.35">
      <c r="B33" s="249" t="str">
        <f>D_T02!B30</f>
        <v>Mechanical Ventilation</v>
      </c>
      <c r="C33" s="104"/>
      <c r="D33" s="106" t="str">
        <f t="shared" si="2"/>
        <v>Fail</v>
      </c>
      <c r="E33" s="6"/>
      <c r="H33" s="9">
        <f t="shared" si="1"/>
        <v>1</v>
      </c>
    </row>
    <row r="34" spans="1:8" thickBot="1" x14ac:dyDescent="0.35">
      <c r="B34" s="249" t="str">
        <f>D_T02!B31</f>
        <v>Hot Water System - electric</v>
      </c>
      <c r="C34" s="104"/>
      <c r="D34" s="106" t="str">
        <f t="shared" si="2"/>
        <v>Fail</v>
      </c>
      <c r="E34" s="6"/>
      <c r="H34" s="9">
        <f t="shared" si="1"/>
        <v>1</v>
      </c>
    </row>
    <row r="35" spans="1:8" thickBot="1" x14ac:dyDescent="0.35">
      <c r="B35" s="249" t="str">
        <f>D_T02!B32</f>
        <v>All Hot Water Lines</v>
      </c>
      <c r="C35" s="104"/>
      <c r="D35" s="106" t="str">
        <f t="shared" si="2"/>
        <v>Fail</v>
      </c>
      <c r="E35" s="6"/>
      <c r="H35" s="9">
        <f t="shared" si="1"/>
        <v>1</v>
      </c>
    </row>
    <row r="36" spans="1:8" thickBot="1" x14ac:dyDescent="0.35">
      <c r="B36" s="249" t="str">
        <f>D_T02!B33</f>
        <v>Hot Water Circulation -none</v>
      </c>
      <c r="C36" s="104"/>
      <c r="D36" s="106" t="str">
        <f t="shared" si="2"/>
        <v>Fail</v>
      </c>
      <c r="E36" s="6"/>
      <c r="H36" s="9">
        <f t="shared" si="1"/>
        <v>1</v>
      </c>
    </row>
    <row r="37" spans="1:8" thickBot="1" x14ac:dyDescent="0.35">
      <c r="B37" s="249" t="str">
        <f>D_T02!B34</f>
        <v>Lighting</v>
      </c>
      <c r="C37" s="104"/>
      <c r="D37" s="106" t="str">
        <f t="shared" si="2"/>
        <v>Fail</v>
      </c>
      <c r="E37" s="6"/>
      <c r="H37" s="9">
        <f t="shared" si="1"/>
        <v>1</v>
      </c>
    </row>
    <row r="38" spans="1:8" thickBot="1" x14ac:dyDescent="0.35">
      <c r="B38" s="249" t="str">
        <f>D_T02!B35</f>
        <v>Pool and Spa - none</v>
      </c>
      <c r="C38" s="104"/>
      <c r="D38" s="106" t="str">
        <f t="shared" si="2"/>
        <v>Fail</v>
      </c>
      <c r="E38" s="6"/>
      <c r="H38" s="9">
        <f t="shared" si="1"/>
        <v>1</v>
      </c>
    </row>
    <row r="39" spans="1:8" thickBot="1" x14ac:dyDescent="0.35">
      <c r="B39" s="250" t="str">
        <f>D_T02!B38</f>
        <v>Area Weighted Fenestration U-Factor Value</v>
      </c>
      <c r="C39" s="105"/>
      <c r="D39" s="106" t="str">
        <f>IF(C39&gt;UA_T02!M27,IF(C39&lt;=UA_T02!M28,"Pass","Fail"),"Fail")</f>
        <v>Fail</v>
      </c>
      <c r="E39" s="302"/>
      <c r="H39" s="9">
        <f t="shared" si="1"/>
        <v>1</v>
      </c>
    </row>
    <row r="40" spans="1:8" thickBot="1" x14ac:dyDescent="0.35">
      <c r="B40" s="250" t="str">
        <f>D_T02!B39</f>
        <v>Area Weighted Fenestration SHGC Value</v>
      </c>
      <c r="C40" s="104"/>
      <c r="D40" s="106" t="str">
        <f>IF(C40&gt;UA_T02!Q27,IF(C40&lt;=UA_T02!Q28,"Pass","Fail"),"Fail")</f>
        <v>Fail</v>
      </c>
      <c r="E40" s="302"/>
      <c r="H40" s="9">
        <f t="shared" si="1"/>
        <v>1</v>
      </c>
    </row>
    <row r="41" spans="1:8" thickBot="1" x14ac:dyDescent="0.35">
      <c r="B41" s="250" t="str">
        <f>D_T02!B40</f>
        <v>Total Thermal Envelope UA Value</v>
      </c>
      <c r="C41" s="111" t="s">
        <v>63</v>
      </c>
      <c r="D41" s="106" t="str">
        <f>IF(C41="Complies","Not applicable",IF(C41="Not applicable","Not applicable","Fail"))</f>
        <v>Not applicable</v>
      </c>
      <c r="E41" s="302"/>
      <c r="H41" s="9">
        <f t="shared" si="1"/>
        <v>0</v>
      </c>
    </row>
    <row r="42" spans="1:8" thickBot="1" x14ac:dyDescent="0.35">
      <c r="B42" s="250" t="str">
        <f>D_T02!B41</f>
        <v>Area Weighted Fenestration U-Factor Result</v>
      </c>
      <c r="C42" s="104"/>
      <c r="D42" s="106" t="str">
        <f>IF(C42="Complies","Pass","Fail")</f>
        <v>Fail</v>
      </c>
      <c r="E42" s="6"/>
      <c r="H42" s="9">
        <f t="shared" si="1"/>
        <v>1</v>
      </c>
    </row>
    <row r="43" spans="1:8" thickBot="1" x14ac:dyDescent="0.35">
      <c r="B43" s="250" t="str">
        <f>D_T02!B42</f>
        <v>Area Weighted Fenestration SHGC Result</v>
      </c>
      <c r="C43" s="104"/>
      <c r="D43" s="106" t="str">
        <f>IF(C43="Complies","Pass","Fail")</f>
        <v>Fail</v>
      </c>
      <c r="E43" s="6"/>
      <c r="H43" s="9">
        <f t="shared" si="1"/>
        <v>1</v>
      </c>
    </row>
    <row r="44" spans="1:8" thickBot="1" x14ac:dyDescent="0.35">
      <c r="B44" s="250" t="str">
        <f>D_T02!B43</f>
        <v>Baseline Thermal Envelope UA Value</v>
      </c>
      <c r="C44" s="112" t="s">
        <v>63</v>
      </c>
      <c r="D44" s="106" t="str">
        <f>IF(C44="Complies","Not applicable",IF(C44="Not applicable","Not applicable","Fail"))</f>
        <v>Not applicable</v>
      </c>
      <c r="E44" s="6"/>
      <c r="H44" s="9">
        <f t="shared" si="1"/>
        <v>0</v>
      </c>
    </row>
    <row r="45" spans="1:8" thickBot="1" x14ac:dyDescent="0.35">
      <c r="B45" s="250" t="str">
        <f>D_T02!B44</f>
        <v>Total Thermal Envelope UA Result</v>
      </c>
      <c r="C45" s="112" t="s">
        <v>63</v>
      </c>
      <c r="D45" s="106" t="str">
        <f>IF(C45="Complies","Not applicable",IF(C45="Not applicable","Not applicable","Fail"))</f>
        <v>Not applicable</v>
      </c>
      <c r="H45" s="9">
        <f t="shared" si="1"/>
        <v>0</v>
      </c>
    </row>
    <row r="46" spans="1:8" thickBot="1" x14ac:dyDescent="0.35">
      <c r="B46" s="250" t="str">
        <f>D_T02!B45</f>
        <v>House Complies?</v>
      </c>
      <c r="C46" s="104"/>
      <c r="D46" s="106" t="str">
        <f>IF(C46="Yes","Pass","Fail")</f>
        <v>Fail</v>
      </c>
      <c r="H46" s="9">
        <f t="shared" si="1"/>
        <v>1</v>
      </c>
    </row>
    <row r="47" spans="1:8" ht="21.6" customHeight="1" x14ac:dyDescent="0.5">
      <c r="B47" s="19"/>
      <c r="C47" s="15" t="s">
        <v>94</v>
      </c>
      <c r="D47" s="16" t="str">
        <f>IF(H47&gt;0,"FAIL","PASS")</f>
        <v>FAIL</v>
      </c>
      <c r="H47" s="258">
        <f xml:space="preserve"> SUM(H11:H46)</f>
        <v>28</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07"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D_T02!B4</f>
        <v>House Pr-T02</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D_T02!B8</f>
        <v>Slab-on-grade Floor</v>
      </c>
      <c r="C58" s="107"/>
      <c r="D58" s="107"/>
      <c r="E58" s="104"/>
      <c r="F58" s="106" t="str">
        <f>IF(E58="Complies","Pass","Fail")</f>
        <v>Fail</v>
      </c>
      <c r="H58" s="9">
        <f>IF(OR(F58="Not applicable",F58="Software Doesn't Check",F58="Pass"),0,1)</f>
        <v>1</v>
      </c>
    </row>
    <row r="59" spans="1:8" ht="15" customHeight="1" thickBot="1" x14ac:dyDescent="0.35">
      <c r="B59" s="249" t="str">
        <f>D_T02!B9</f>
        <v>Roof – gable type- 5 in 12 slope No overhangs</v>
      </c>
      <c r="C59" s="107"/>
      <c r="D59" s="107"/>
      <c r="E59" s="104"/>
      <c r="F59" s="106" t="str">
        <f>IF(E59="Complies","Pass","Fail")</f>
        <v>Fail</v>
      </c>
      <c r="H59" s="9">
        <f t="shared" ref="H59:H93" si="3">IF(OR(F59="Not applicable",F59="Software Doesn't Check",F59="Pass"),0,1)</f>
        <v>1</v>
      </c>
    </row>
    <row r="60" spans="1:8" ht="15" customHeight="1" thickBot="1" x14ac:dyDescent="0.35">
      <c r="B60" s="249" t="str">
        <f>D_T02!B10</f>
        <v>Ceiling1 –flat under attic</v>
      </c>
      <c r="C60" s="104"/>
      <c r="D60" s="104"/>
      <c r="E60" s="104"/>
      <c r="F60" s="106" t="str">
        <f>IF(E60="Complies","Pass","Fail")</f>
        <v>Fail</v>
      </c>
      <c r="H60" s="9">
        <f t="shared" si="3"/>
        <v>1</v>
      </c>
    </row>
    <row r="61" spans="1:8" ht="15" customHeight="1" thickBot="1" x14ac:dyDescent="0.35">
      <c r="B61" s="249" t="str">
        <f>D_T02!B11</f>
        <v xml:space="preserve">        Skylight</v>
      </c>
      <c r="C61" s="107"/>
      <c r="D61" s="218">
        <f>D_T02!E11</f>
        <v>0.65</v>
      </c>
      <c r="E61" s="104"/>
      <c r="F61" s="106" t="str">
        <f>IF(E61="Complies","Pass","Fail")</f>
        <v>Fail</v>
      </c>
      <c r="H61" s="9">
        <f t="shared" si="3"/>
        <v>1</v>
      </c>
    </row>
    <row r="62" spans="1:8" ht="15" customHeight="1" thickBot="1" x14ac:dyDescent="0.35">
      <c r="B62" s="249" t="str">
        <f>D_T02!B12</f>
        <v>Wall 1 –faces North, CBS2</v>
      </c>
      <c r="C62" s="104"/>
      <c r="D62" s="104"/>
      <c r="E62" s="104"/>
      <c r="F62" s="106" t="str">
        <f>IF(E62="Complies","Pass","Fail")</f>
        <v>Fail</v>
      </c>
      <c r="H62" s="9">
        <f t="shared" si="3"/>
        <v>1</v>
      </c>
    </row>
    <row r="63" spans="1:8" ht="15" customHeight="1" thickBot="1" x14ac:dyDescent="0.35">
      <c r="B63" s="249" t="str">
        <f>D_T02!B13</f>
        <v xml:space="preserve">        Door 1 </v>
      </c>
      <c r="C63" s="107"/>
      <c r="D63" s="407">
        <f>D_T02!E13</f>
        <v>0.8</v>
      </c>
      <c r="E63" s="111" t="s">
        <v>63</v>
      </c>
      <c r="F63" s="106" t="s">
        <v>63</v>
      </c>
      <c r="H63" s="9">
        <f t="shared" si="3"/>
        <v>0</v>
      </c>
    </row>
    <row r="64" spans="1:8" ht="15" customHeight="1" thickBot="1" x14ac:dyDescent="0.35">
      <c r="B64" s="249" t="str">
        <f>D_T02!B14</f>
        <v xml:space="preserve">        Window 1 – Metal Frame Double Clear</v>
      </c>
      <c r="C64" s="107"/>
      <c r="D64" s="407">
        <f>D_T02!E14</f>
        <v>0.68</v>
      </c>
      <c r="E64" s="111" t="s">
        <v>63</v>
      </c>
      <c r="F64" s="106" t="s">
        <v>63</v>
      </c>
      <c r="H64" s="9">
        <f t="shared" si="3"/>
        <v>0</v>
      </c>
    </row>
    <row r="65" spans="2:8" ht="15" customHeight="1" thickBot="1" x14ac:dyDescent="0.35">
      <c r="B65" s="249" t="str">
        <f>D_T02!B15</f>
        <v>Wall 2 –faces East, CBS</v>
      </c>
      <c r="C65" s="104"/>
      <c r="D65" s="104"/>
      <c r="E65" s="104"/>
      <c r="F65" s="106" t="str">
        <f>IF(E65="Complies","Pass","Fail")</f>
        <v>Fail</v>
      </c>
      <c r="H65" s="9">
        <f t="shared" si="3"/>
        <v>1</v>
      </c>
    </row>
    <row r="66" spans="2:8" ht="15" customHeight="1" thickBot="1" x14ac:dyDescent="0.35">
      <c r="B66" s="249" t="str">
        <f>D_T02!B16</f>
        <v xml:space="preserve">        Window 2 – Vinyl Frame Low-e Double</v>
      </c>
      <c r="C66" s="107"/>
      <c r="D66" s="407">
        <f>D_T02!E16</f>
        <v>0.27</v>
      </c>
      <c r="E66" s="111" t="s">
        <v>63</v>
      </c>
      <c r="F66" s="106" t="s">
        <v>63</v>
      </c>
      <c r="H66" s="9">
        <f t="shared" si="3"/>
        <v>0</v>
      </c>
    </row>
    <row r="67" spans="2:8" ht="15" customHeight="1" thickBot="1" x14ac:dyDescent="0.35">
      <c r="B67" s="249" t="str">
        <f>D_T02!B17</f>
        <v>Wall 3 –faces South, CBS</v>
      </c>
      <c r="C67" s="104"/>
      <c r="D67" s="104"/>
      <c r="E67" s="104"/>
      <c r="F67" s="106" t="str">
        <f>IF(E67="Complies","Pass","Fail")</f>
        <v>Fail</v>
      </c>
      <c r="H67" s="9">
        <f t="shared" si="3"/>
        <v>1</v>
      </c>
    </row>
    <row r="68" spans="2:8" ht="15" customHeight="1" thickBot="1" x14ac:dyDescent="0.35">
      <c r="B68" s="249" t="str">
        <f>D_T02!B18</f>
        <v xml:space="preserve">        Window 3 – Metal Frame, Single Pane</v>
      </c>
      <c r="C68" s="107"/>
      <c r="D68" s="407">
        <f>D_T02!E18</f>
        <v>1.2</v>
      </c>
      <c r="E68" s="111" t="s">
        <v>63</v>
      </c>
      <c r="F68" s="106" t="s">
        <v>63</v>
      </c>
      <c r="H68" s="9">
        <f t="shared" si="3"/>
        <v>0</v>
      </c>
    </row>
    <row r="69" spans="2:8" ht="15" customHeight="1" thickBot="1" x14ac:dyDescent="0.35">
      <c r="B69" s="249" t="str">
        <f>D_T02!B19</f>
        <v>Wall 4 –faces South, Wood3 2x4 Studs</v>
      </c>
      <c r="C69" s="104"/>
      <c r="D69" s="104"/>
      <c r="E69" s="104"/>
      <c r="F69" s="106" t="str">
        <f>IF(E69="U-Factor too high","Pass","Fail")</f>
        <v>Fail</v>
      </c>
      <c r="H69" s="9">
        <f t="shared" si="3"/>
        <v>1</v>
      </c>
    </row>
    <row r="70" spans="2:8" ht="15" customHeight="1" thickBot="1" x14ac:dyDescent="0.35">
      <c r="B70" s="249" t="str">
        <f>D_T02!B20</f>
        <v xml:space="preserve">        Window 4 – Vinyl Frame  Low-e Double</v>
      </c>
      <c r="C70" s="107"/>
      <c r="D70" s="407">
        <f>D_T02!E20</f>
        <v>0.27</v>
      </c>
      <c r="E70" s="111" t="s">
        <v>63</v>
      </c>
      <c r="F70" s="106" t="s">
        <v>63</v>
      </c>
      <c r="H70" s="9">
        <f t="shared" si="3"/>
        <v>0</v>
      </c>
    </row>
    <row r="71" spans="2:8" ht="15" customHeight="1" thickBot="1" x14ac:dyDescent="0.35">
      <c r="B71" s="249" t="str">
        <f>D_T02!B21</f>
        <v>Wall 5 –faces West, CBS</v>
      </c>
      <c r="C71" s="104"/>
      <c r="D71" s="104"/>
      <c r="E71" s="104"/>
      <c r="F71" s="106" t="str">
        <f>IF(E71="Complies","Pass","Fail")</f>
        <v>Fail</v>
      </c>
      <c r="H71" s="9">
        <f t="shared" si="3"/>
        <v>1</v>
      </c>
    </row>
    <row r="72" spans="2:8" ht="15" customHeight="1" thickBot="1" x14ac:dyDescent="0.35">
      <c r="B72" s="249" t="str">
        <f>D_T02!B22</f>
        <v xml:space="preserve">        Window 5 – Vinyl Frame Low-e Double</v>
      </c>
      <c r="C72" s="107"/>
      <c r="D72" s="407">
        <f>D_T02!E22</f>
        <v>0.27</v>
      </c>
      <c r="E72" s="111" t="s">
        <v>63</v>
      </c>
      <c r="F72" s="106" t="s">
        <v>63</v>
      </c>
      <c r="H72" s="9">
        <f t="shared" si="3"/>
        <v>0</v>
      </c>
    </row>
    <row r="73" spans="2:8" ht="15" customHeight="1" thickBot="1" x14ac:dyDescent="0.35">
      <c r="B73" s="249" t="str">
        <f>D_T02!B23</f>
        <v>Infiltration</v>
      </c>
      <c r="C73" s="107"/>
      <c r="D73" s="107"/>
      <c r="E73" s="113"/>
      <c r="F73" s="106" t="str">
        <f>IF(E73="Complies","Pass",IF(E73="Not part of software","Software Doesn't Check","Fail"))</f>
        <v>Fail</v>
      </c>
      <c r="H73" s="9">
        <f t="shared" si="3"/>
        <v>1</v>
      </c>
    </row>
    <row r="74" spans="2:8" ht="15" customHeight="1" thickBot="1" x14ac:dyDescent="0.35">
      <c r="B74" s="249" t="str">
        <f>D_T02!B24</f>
        <v>Heating – heat pump</v>
      </c>
      <c r="C74" s="107"/>
      <c r="D74" s="107"/>
      <c r="E74" s="114"/>
      <c r="F74" s="106" t="str">
        <f>IF(E74="Complies","Pass",IF(E74="Not part of software","Software Doesn't Check","Fail"))</f>
        <v>Fail</v>
      </c>
      <c r="H74" s="9">
        <f t="shared" si="3"/>
        <v>1</v>
      </c>
    </row>
    <row r="75" spans="2:8" ht="15" customHeight="1" thickBot="1" x14ac:dyDescent="0.35">
      <c r="B75" s="249" t="str">
        <f>D_T02!B25</f>
        <v>Cooling – heat pump</v>
      </c>
      <c r="C75" s="107"/>
      <c r="D75" s="107"/>
      <c r="E75" s="113"/>
      <c r="F75" s="106" t="str">
        <f>IF(E75="Complies","Pass",IF(E75="Not part of software","Software Doesn't Check","Fail"))</f>
        <v>Fail</v>
      </c>
      <c r="H75" s="9">
        <f t="shared" si="3"/>
        <v>1</v>
      </c>
    </row>
    <row r="76" spans="2:8" ht="15" customHeight="1" thickBot="1" x14ac:dyDescent="0.35">
      <c r="B76" s="249" t="str">
        <f>D_T02!B26</f>
        <v>Ducts – supply in attic</v>
      </c>
      <c r="C76" s="107"/>
      <c r="D76" s="107"/>
      <c r="E76" s="113"/>
      <c r="F76" s="106" t="str">
        <f>IF(E76="Complies","Pass",IF(E76="Not part of software","Software Doesn't Check","Fail"))</f>
        <v>Fail</v>
      </c>
      <c r="H76" s="9">
        <f t="shared" si="3"/>
        <v>1</v>
      </c>
    </row>
    <row r="77" spans="2:8" ht="15" customHeight="1" thickBot="1" x14ac:dyDescent="0.35">
      <c r="B77" s="249" t="str">
        <f>D_T02!B27</f>
        <v>Ducts – Return in Conditioned Space</v>
      </c>
      <c r="C77" s="107"/>
      <c r="D77" s="107"/>
      <c r="E77" s="113"/>
      <c r="F77" s="106" t="str">
        <f t="shared" ref="F77:F85" si="4">IF(E77="Complies","Pass",IF(E77="Not part of software","Software Doesn't Check","Fail"))</f>
        <v>Fail</v>
      </c>
      <c r="H77" s="9">
        <f t="shared" si="3"/>
        <v>1</v>
      </c>
    </row>
    <row r="78" spans="2:8" ht="15" customHeight="1" thickBot="1" x14ac:dyDescent="0.35">
      <c r="B78" s="249" t="str">
        <f>D_T02!B28</f>
        <v>Duct Tightness</v>
      </c>
      <c r="C78" s="107"/>
      <c r="D78" s="107"/>
      <c r="E78" s="113"/>
      <c r="F78" s="106" t="str">
        <f t="shared" si="4"/>
        <v>Fail</v>
      </c>
      <c r="H78" s="9">
        <f t="shared" si="3"/>
        <v>1</v>
      </c>
    </row>
    <row r="79" spans="2:8" ht="15" customHeight="1" thickBot="1" x14ac:dyDescent="0.35">
      <c r="B79" s="249" t="str">
        <f>D_T02!B29</f>
        <v>Air Handler – in Conditioned Space</v>
      </c>
      <c r="C79" s="107"/>
      <c r="D79" s="107"/>
      <c r="E79" s="113"/>
      <c r="F79" s="106" t="str">
        <f t="shared" si="4"/>
        <v>Fail</v>
      </c>
      <c r="H79" s="9">
        <f t="shared" si="3"/>
        <v>1</v>
      </c>
    </row>
    <row r="80" spans="2:8" ht="15" customHeight="1" thickBot="1" x14ac:dyDescent="0.35">
      <c r="B80" s="249" t="str">
        <f>D_T02!B30</f>
        <v>Mechanical Ventilation</v>
      </c>
      <c r="C80" s="107"/>
      <c r="D80" s="107"/>
      <c r="E80" s="104"/>
      <c r="F80" s="106" t="str">
        <f t="shared" si="4"/>
        <v>Fail</v>
      </c>
      <c r="H80" s="9">
        <f t="shared" si="3"/>
        <v>1</v>
      </c>
    </row>
    <row r="81" spans="1:8" ht="15" customHeight="1" thickBot="1" x14ac:dyDescent="0.35">
      <c r="B81" s="249" t="str">
        <f>D_T02!B31</f>
        <v>Hot Water System - electric</v>
      </c>
      <c r="C81" s="107"/>
      <c r="D81" s="107"/>
      <c r="E81" s="113"/>
      <c r="F81" s="106" t="str">
        <f t="shared" si="4"/>
        <v>Fail</v>
      </c>
      <c r="H81" s="9">
        <f t="shared" si="3"/>
        <v>1</v>
      </c>
    </row>
    <row r="82" spans="1:8" ht="15" customHeight="1" thickBot="1" x14ac:dyDescent="0.35">
      <c r="B82" s="249" t="str">
        <f>D_T02!B32</f>
        <v>All Hot Water Lines</v>
      </c>
      <c r="C82" s="107"/>
      <c r="D82" s="107"/>
      <c r="E82" s="113"/>
      <c r="F82" s="106" t="str">
        <f t="shared" si="4"/>
        <v>Fail</v>
      </c>
      <c r="H82" s="9">
        <f t="shared" si="3"/>
        <v>1</v>
      </c>
    </row>
    <row r="83" spans="1:8" ht="15" customHeight="1" thickBot="1" x14ac:dyDescent="0.35">
      <c r="B83" s="249" t="str">
        <f>D_T02!B33</f>
        <v>Hot Water Circulation -none</v>
      </c>
      <c r="C83" s="107"/>
      <c r="D83" s="107"/>
      <c r="E83" s="113"/>
      <c r="F83" s="106" t="str">
        <f t="shared" si="4"/>
        <v>Fail</v>
      </c>
      <c r="H83" s="9">
        <f t="shared" si="3"/>
        <v>1</v>
      </c>
    </row>
    <row r="84" spans="1:8" ht="15" customHeight="1" thickBot="1" x14ac:dyDescent="0.35">
      <c r="B84" s="249" t="str">
        <f>D_T02!B34</f>
        <v>Lighting</v>
      </c>
      <c r="C84" s="107"/>
      <c r="D84" s="107"/>
      <c r="E84" s="113"/>
      <c r="F84" s="106" t="str">
        <f t="shared" si="4"/>
        <v>Fail</v>
      </c>
      <c r="H84" s="9">
        <f t="shared" si="3"/>
        <v>1</v>
      </c>
    </row>
    <row r="85" spans="1:8" ht="15" customHeight="1" thickBot="1" x14ac:dyDescent="0.35">
      <c r="B85" s="249" t="str">
        <f>D_T02!B35</f>
        <v>Pool and Spa - none</v>
      </c>
      <c r="C85" s="107"/>
      <c r="D85" s="107"/>
      <c r="E85" s="113"/>
      <c r="F85" s="106" t="str">
        <f t="shared" si="4"/>
        <v>Fail</v>
      </c>
      <c r="H85" s="9">
        <f t="shared" si="3"/>
        <v>1</v>
      </c>
    </row>
    <row r="86" spans="1:8" ht="15" customHeight="1" thickBot="1" x14ac:dyDescent="0.35">
      <c r="B86" s="250" t="str">
        <f>D_T02!B38</f>
        <v>Area Weighted Fenestration U-Factor Value</v>
      </c>
      <c r="C86" s="107"/>
      <c r="D86" s="107"/>
      <c r="E86" s="105"/>
      <c r="F86" s="106" t="str">
        <f>IF(E86&gt;UA_T02!O27,IF(E86&lt;=UA_T02!O28,"Pass","Fail"),"Fail")</f>
        <v>Fail</v>
      </c>
      <c r="H86" s="9">
        <f t="shared" si="3"/>
        <v>1</v>
      </c>
    </row>
    <row r="87" spans="1:8" ht="15" customHeight="1" thickBot="1" x14ac:dyDescent="0.35">
      <c r="B87" s="250" t="str">
        <f>D_T02!B39</f>
        <v>Area Weighted Fenestration SHGC Value</v>
      </c>
      <c r="C87" s="107"/>
      <c r="D87" s="107"/>
      <c r="E87" s="104"/>
      <c r="F87" s="106" t="str">
        <f>IF(E87&gt;UA_T02!S27,IF(E87&lt;=UA_T02!S28,"Pass","Fail"),"Fail")</f>
        <v>Fail</v>
      </c>
      <c r="H87" s="9">
        <f t="shared" si="3"/>
        <v>1</v>
      </c>
    </row>
    <row r="88" spans="1:8" ht="15" customHeight="1" thickBot="1" x14ac:dyDescent="0.35">
      <c r="B88" s="250" t="str">
        <f>D_T02!B40</f>
        <v>Total Thermal Envelope UA Value</v>
      </c>
      <c r="C88" s="107"/>
      <c r="D88" s="107"/>
      <c r="E88" s="111" t="s">
        <v>63</v>
      </c>
      <c r="F88" s="106" t="s">
        <v>63</v>
      </c>
      <c r="H88" s="9">
        <f t="shared" si="3"/>
        <v>0</v>
      </c>
    </row>
    <row r="89" spans="1:8" ht="15" customHeight="1" thickBot="1" x14ac:dyDescent="0.35">
      <c r="B89" s="250" t="str">
        <f>D_T02!B41</f>
        <v>Area Weighted Fenestration U-Factor Result</v>
      </c>
      <c r="C89" s="107"/>
      <c r="D89" s="111"/>
      <c r="E89" s="104"/>
      <c r="F89" s="467" t="str">
        <f>IF(E89="Average U too high","Pass","Fail")</f>
        <v>Fail</v>
      </c>
      <c r="H89" s="9">
        <f t="shared" si="3"/>
        <v>1</v>
      </c>
    </row>
    <row r="90" spans="1:8" ht="15" customHeight="1" thickBot="1" x14ac:dyDescent="0.35">
      <c r="B90" s="250" t="str">
        <f>D_T02!B42</f>
        <v>Area Weighted Fenestration SHGC Result</v>
      </c>
      <c r="C90" s="107"/>
      <c r="D90" s="111"/>
      <c r="E90" s="104"/>
      <c r="F90" s="467" t="str">
        <f>IF(E90="Average SHGC too high","Pass","Fail")</f>
        <v>Fail</v>
      </c>
      <c r="H90" s="9">
        <f t="shared" si="3"/>
        <v>1</v>
      </c>
    </row>
    <row r="91" spans="1:8" ht="15" customHeight="1" thickBot="1" x14ac:dyDescent="0.35">
      <c r="B91" s="250" t="str">
        <f>D_T02!B43</f>
        <v>Baseline Thermal Envelope UA Value</v>
      </c>
      <c r="C91" s="107"/>
      <c r="D91" s="111"/>
      <c r="E91" s="111" t="s">
        <v>63</v>
      </c>
      <c r="F91" s="106" t="s">
        <v>63</v>
      </c>
      <c r="H91" s="9">
        <f t="shared" si="3"/>
        <v>0</v>
      </c>
    </row>
    <row r="92" spans="1:8" ht="15" customHeight="1" thickBot="1" x14ac:dyDescent="0.35">
      <c r="B92" s="250" t="str">
        <f>D_T02!B44</f>
        <v>Total Thermal Envelope UA Result</v>
      </c>
      <c r="C92" s="107"/>
      <c r="D92" s="111"/>
      <c r="E92" s="111" t="s">
        <v>63</v>
      </c>
      <c r="F92" s="106" t="s">
        <v>63</v>
      </c>
      <c r="H92" s="9">
        <f t="shared" si="3"/>
        <v>0</v>
      </c>
    </row>
    <row r="93" spans="1:8" ht="15" customHeight="1" thickBot="1" x14ac:dyDescent="0.35">
      <c r="B93" s="250" t="str">
        <f>D_T02!B45</f>
        <v>House Complies?</v>
      </c>
      <c r="C93" s="107"/>
      <c r="D93" s="111"/>
      <c r="E93" s="104"/>
      <c r="F93" s="106" t="str">
        <f>IF(E93="No","Pass","Fail")</f>
        <v>Fail</v>
      </c>
      <c r="H93" s="9">
        <f t="shared" si="3"/>
        <v>1</v>
      </c>
    </row>
    <row r="94" spans="1:8" ht="21" customHeight="1" x14ac:dyDescent="0.5">
      <c r="B94" s="19"/>
      <c r="E94" s="24" t="s">
        <v>85</v>
      </c>
      <c r="F94" s="16" t="str">
        <f>IF(H94&gt;0,"FAIL","PASS")</f>
        <v>FAIL</v>
      </c>
      <c r="H94" s="258">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260"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D_T02!B4</f>
        <v>House Pr-T02</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D_T02!B8</f>
        <v>Slab-on-grade Floor</v>
      </c>
      <c r="C105" s="107"/>
      <c r="D105" s="107"/>
      <c r="E105" s="111" t="s">
        <v>63</v>
      </c>
      <c r="F105" s="467" t="s">
        <v>63</v>
      </c>
      <c r="H105" s="9">
        <f t="shared" ref="H105:H140" si="5">IF(OR(F105="Not applicable",F105="Software Doesn't Check",F105="Pass"),0,1)</f>
        <v>0</v>
      </c>
    </row>
    <row r="106" spans="1:8" ht="15.75" thickBot="1" x14ac:dyDescent="0.3">
      <c r="B106" s="249" t="str">
        <f>D_T02!B9</f>
        <v>Roof – gable type- 5 in 12 slope No overhangs</v>
      </c>
      <c r="C106" s="107"/>
      <c r="D106" s="107"/>
      <c r="E106" s="111" t="s">
        <v>63</v>
      </c>
      <c r="F106" s="467" t="s">
        <v>63</v>
      </c>
      <c r="H106" s="9">
        <f t="shared" si="5"/>
        <v>0</v>
      </c>
    </row>
    <row r="107" spans="1:8" ht="15.75" thickBot="1" x14ac:dyDescent="0.3">
      <c r="B107" s="249" t="str">
        <f>D_T02!B10</f>
        <v>Ceiling1 –flat under attic</v>
      </c>
      <c r="C107" s="104"/>
      <c r="D107" s="104"/>
      <c r="E107" s="111" t="s">
        <v>63</v>
      </c>
      <c r="F107" s="467" t="s">
        <v>63</v>
      </c>
      <c r="H107" s="9">
        <f t="shared" si="5"/>
        <v>0</v>
      </c>
    </row>
    <row r="108" spans="1:8" thickBot="1" x14ac:dyDescent="0.35">
      <c r="B108" s="249" t="str">
        <f>D_T02!B11</f>
        <v xml:space="preserve">        Skylight</v>
      </c>
      <c r="C108" s="111"/>
      <c r="D108" s="219">
        <f>D_T02!E11</f>
        <v>0.65</v>
      </c>
      <c r="E108" s="104"/>
      <c r="F108" s="467" t="str">
        <f>IF(E108="Complies","Pass","Fail")</f>
        <v>Fail</v>
      </c>
      <c r="H108" s="9">
        <f t="shared" si="5"/>
        <v>1</v>
      </c>
    </row>
    <row r="109" spans="1:8" ht="15.75" thickBot="1" x14ac:dyDescent="0.3">
      <c r="B109" s="249" t="str">
        <f>D_T02!B12</f>
        <v>Wall 1 –faces North, CBS2</v>
      </c>
      <c r="C109" s="104"/>
      <c r="D109" s="104"/>
      <c r="E109" s="111" t="s">
        <v>63</v>
      </c>
      <c r="F109" s="467" t="s">
        <v>63</v>
      </c>
      <c r="H109" s="9">
        <f t="shared" si="5"/>
        <v>0</v>
      </c>
    </row>
    <row r="110" spans="1:8" thickBot="1" x14ac:dyDescent="0.35">
      <c r="B110" s="249" t="str">
        <f>D_T02!B13</f>
        <v xml:space="preserve">        Door 1 </v>
      </c>
      <c r="C110" s="111"/>
      <c r="D110" s="408">
        <f>D_T02!E13</f>
        <v>0.8</v>
      </c>
      <c r="E110" s="111" t="s">
        <v>63</v>
      </c>
      <c r="F110" s="467" t="s">
        <v>63</v>
      </c>
      <c r="H110" s="9">
        <f t="shared" si="5"/>
        <v>0</v>
      </c>
    </row>
    <row r="111" spans="1:8" ht="15.75" thickBot="1" x14ac:dyDescent="0.3">
      <c r="B111" s="249" t="str">
        <f>D_T02!B14</f>
        <v xml:space="preserve">        Window 1 – Metal Frame Double Clear</v>
      </c>
      <c r="C111" s="111"/>
      <c r="D111" s="408">
        <f>D_T02!E14</f>
        <v>0.68</v>
      </c>
      <c r="E111" s="111" t="s">
        <v>63</v>
      </c>
      <c r="F111" s="467" t="s">
        <v>63</v>
      </c>
      <c r="H111" s="9">
        <f t="shared" si="5"/>
        <v>0</v>
      </c>
    </row>
    <row r="112" spans="1:8" ht="15.75" thickBot="1" x14ac:dyDescent="0.3">
      <c r="B112" s="249" t="str">
        <f>D_T02!B15</f>
        <v>Wall 2 –faces East, CBS</v>
      </c>
      <c r="C112" s="104"/>
      <c r="D112" s="104"/>
      <c r="E112" s="111" t="s">
        <v>63</v>
      </c>
      <c r="F112" s="467" t="s">
        <v>63</v>
      </c>
      <c r="H112" s="9">
        <f t="shared" si="5"/>
        <v>0</v>
      </c>
    </row>
    <row r="113" spans="2:8" ht="15.75" thickBot="1" x14ac:dyDescent="0.3">
      <c r="B113" s="249" t="str">
        <f>D_T02!B16</f>
        <v xml:space="preserve">        Window 2 – Vinyl Frame Low-e Double</v>
      </c>
      <c r="C113" s="111"/>
      <c r="D113" s="408">
        <f>D_T02!E16</f>
        <v>0.27</v>
      </c>
      <c r="E113" s="111" t="s">
        <v>63</v>
      </c>
      <c r="F113" s="467" t="s">
        <v>63</v>
      </c>
      <c r="H113" s="9">
        <f t="shared" si="5"/>
        <v>0</v>
      </c>
    </row>
    <row r="114" spans="2:8" ht="15.75" thickBot="1" x14ac:dyDescent="0.3">
      <c r="B114" s="249" t="str">
        <f>D_T02!B17</f>
        <v>Wall 3 –faces South, CBS</v>
      </c>
      <c r="C114" s="104"/>
      <c r="D114" s="104"/>
      <c r="E114" s="111" t="s">
        <v>63</v>
      </c>
      <c r="F114" s="467" t="s">
        <v>63</v>
      </c>
      <c r="H114" s="9">
        <f t="shared" si="5"/>
        <v>0</v>
      </c>
    </row>
    <row r="115" spans="2:8" ht="15.75" thickBot="1" x14ac:dyDescent="0.3">
      <c r="B115" s="249" t="str">
        <f>D_T02!B18</f>
        <v xml:space="preserve">        Window 3 – Metal Frame, Single Pane</v>
      </c>
      <c r="C115" s="111"/>
      <c r="D115" s="408">
        <f>D_T02!E18</f>
        <v>1.2</v>
      </c>
      <c r="E115" s="111" t="s">
        <v>63</v>
      </c>
      <c r="F115" s="467" t="s">
        <v>63</v>
      </c>
      <c r="H115" s="9">
        <f t="shared" si="5"/>
        <v>0</v>
      </c>
    </row>
    <row r="116" spans="2:8" ht="15.75" thickBot="1" x14ac:dyDescent="0.3">
      <c r="B116" s="249" t="str">
        <f>D_T02!B19</f>
        <v>Wall 4 –faces South, Wood3 2x4 Studs</v>
      </c>
      <c r="C116" s="104"/>
      <c r="D116" s="104"/>
      <c r="E116" s="111" t="s">
        <v>63</v>
      </c>
      <c r="F116" s="467" t="s">
        <v>63</v>
      </c>
      <c r="H116" s="9">
        <f t="shared" si="5"/>
        <v>0</v>
      </c>
    </row>
    <row r="117" spans="2:8" ht="15.75" thickBot="1" x14ac:dyDescent="0.3">
      <c r="B117" s="249" t="str">
        <f>D_T02!B20</f>
        <v xml:space="preserve">        Window 4 – Vinyl Frame  Low-e Double</v>
      </c>
      <c r="C117" s="111"/>
      <c r="D117" s="408">
        <f>D_T02!E20</f>
        <v>0.27</v>
      </c>
      <c r="E117" s="111" t="s">
        <v>63</v>
      </c>
      <c r="F117" s="467" t="s">
        <v>63</v>
      </c>
      <c r="H117" s="9">
        <f t="shared" si="5"/>
        <v>0</v>
      </c>
    </row>
    <row r="118" spans="2:8" ht="15.75" thickBot="1" x14ac:dyDescent="0.3">
      <c r="B118" s="249" t="str">
        <f>D_T02!B21</f>
        <v>Wall 5 –faces West, CBS</v>
      </c>
      <c r="C118" s="104"/>
      <c r="D118" s="104"/>
      <c r="E118" s="111" t="s">
        <v>63</v>
      </c>
      <c r="F118" s="467" t="s">
        <v>63</v>
      </c>
      <c r="H118" s="9">
        <f t="shared" si="5"/>
        <v>0</v>
      </c>
    </row>
    <row r="119" spans="2:8" ht="15.75" thickBot="1" x14ac:dyDescent="0.3">
      <c r="B119" s="249" t="str">
        <f>D_T02!B22</f>
        <v xml:space="preserve">        Window 5 – Vinyl Frame Low-e Double</v>
      </c>
      <c r="C119" s="107"/>
      <c r="D119" s="407">
        <f>D_T02!E22</f>
        <v>0.27</v>
      </c>
      <c r="E119" s="111" t="s">
        <v>63</v>
      </c>
      <c r="F119" s="467" t="s">
        <v>63</v>
      </c>
      <c r="H119" s="9">
        <f t="shared" si="5"/>
        <v>0</v>
      </c>
    </row>
    <row r="120" spans="2:8" thickBot="1" x14ac:dyDescent="0.35">
      <c r="B120" s="249" t="str">
        <f>D_T02!B23</f>
        <v>Infiltration</v>
      </c>
      <c r="C120" s="107"/>
      <c r="D120" s="107"/>
      <c r="E120" s="113"/>
      <c r="F120" s="106" t="str">
        <f>IF(E120="Complies","Pass",IF(E120="Not part of software","Software Doesn't Check","Fail"))</f>
        <v>Fail</v>
      </c>
      <c r="H120" s="9">
        <f t="shared" si="5"/>
        <v>1</v>
      </c>
    </row>
    <row r="121" spans="2:8" ht="15.75" thickBot="1" x14ac:dyDescent="0.3">
      <c r="B121" s="249" t="str">
        <f>D_T02!B24</f>
        <v>Heating – heat pump</v>
      </c>
      <c r="C121" s="107"/>
      <c r="D121" s="107"/>
      <c r="E121" s="114"/>
      <c r="F121" s="106" t="str">
        <f>IF(E121="Complies","Pass",IF(E121="Not part of software","Software Doesn't Check","Fail"))</f>
        <v>Fail</v>
      </c>
      <c r="H121" s="9">
        <f t="shared" si="5"/>
        <v>1</v>
      </c>
    </row>
    <row r="122" spans="2:8" ht="15.75" thickBot="1" x14ac:dyDescent="0.3">
      <c r="B122" s="249" t="str">
        <f>D_T02!B25</f>
        <v>Cooling – heat pump</v>
      </c>
      <c r="C122" s="107"/>
      <c r="D122" s="107"/>
      <c r="E122" s="113"/>
      <c r="F122" s="106" t="str">
        <f>IF(E122="Complies","Pass",IF(E122="Not part of software","Software Doesn't Check","Fail"))</f>
        <v>Fail</v>
      </c>
      <c r="H122" s="9">
        <f t="shared" si="5"/>
        <v>1</v>
      </c>
    </row>
    <row r="123" spans="2:8" ht="15.75" thickBot="1" x14ac:dyDescent="0.3">
      <c r="B123" s="249" t="str">
        <f>D_T02!B26</f>
        <v>Ducts – supply in attic</v>
      </c>
      <c r="C123" s="107"/>
      <c r="D123" s="107"/>
      <c r="E123" s="113"/>
      <c r="F123" s="106" t="str">
        <f>IF(E123="Complies","Pass",IF(E123="Not part of software","Software Doesn't Check","Fail"))</f>
        <v>Fail</v>
      </c>
      <c r="H123" s="9">
        <f t="shared" si="5"/>
        <v>1</v>
      </c>
    </row>
    <row r="124" spans="2:8" ht="15.75" thickBot="1" x14ac:dyDescent="0.3">
      <c r="B124" s="249" t="str">
        <f>D_T02!B27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D_T02!B28</f>
        <v>Duct Tightness</v>
      </c>
      <c r="C125" s="107"/>
      <c r="D125" s="107"/>
      <c r="E125" s="113"/>
      <c r="F125" s="106" t="str">
        <f t="shared" si="6"/>
        <v>Fail</v>
      </c>
      <c r="H125" s="9">
        <f t="shared" si="5"/>
        <v>1</v>
      </c>
    </row>
    <row r="126" spans="2:8" ht="15.75" thickBot="1" x14ac:dyDescent="0.3">
      <c r="B126" s="249" t="str">
        <f>D_T02!B29</f>
        <v>Air Handler – in Conditioned Space</v>
      </c>
      <c r="C126" s="107"/>
      <c r="D126" s="107"/>
      <c r="E126" s="113"/>
      <c r="F126" s="106" t="str">
        <f t="shared" si="6"/>
        <v>Fail</v>
      </c>
      <c r="H126" s="9">
        <f t="shared" si="5"/>
        <v>1</v>
      </c>
    </row>
    <row r="127" spans="2:8" thickBot="1" x14ac:dyDescent="0.35">
      <c r="B127" s="249" t="str">
        <f>D_T02!B30</f>
        <v>Mechanical Ventilation</v>
      </c>
      <c r="C127" s="107"/>
      <c r="D127" s="107"/>
      <c r="E127" s="104"/>
      <c r="F127" s="106" t="str">
        <f t="shared" si="6"/>
        <v>Fail</v>
      </c>
      <c r="H127" s="9">
        <f t="shared" si="5"/>
        <v>1</v>
      </c>
    </row>
    <row r="128" spans="2:8" thickBot="1" x14ac:dyDescent="0.35">
      <c r="B128" s="249" t="str">
        <f>D_T02!B31</f>
        <v>Hot Water System - electric</v>
      </c>
      <c r="C128" s="107"/>
      <c r="D128" s="107"/>
      <c r="E128" s="113"/>
      <c r="F128" s="106" t="str">
        <f t="shared" si="6"/>
        <v>Fail</v>
      </c>
      <c r="H128" s="9">
        <f t="shared" si="5"/>
        <v>1</v>
      </c>
    </row>
    <row r="129" spans="1:8" thickBot="1" x14ac:dyDescent="0.35">
      <c r="B129" s="249" t="str">
        <f>D_T02!B32</f>
        <v>All Hot Water Lines</v>
      </c>
      <c r="C129" s="107"/>
      <c r="D129" s="107"/>
      <c r="E129" s="113"/>
      <c r="F129" s="106" t="str">
        <f t="shared" si="6"/>
        <v>Fail</v>
      </c>
      <c r="H129" s="9">
        <f t="shared" si="5"/>
        <v>1</v>
      </c>
    </row>
    <row r="130" spans="1:8" thickBot="1" x14ac:dyDescent="0.35">
      <c r="B130" s="249" t="str">
        <f>D_T02!B33</f>
        <v>Hot Water Circulation -none</v>
      </c>
      <c r="C130" s="107"/>
      <c r="D130" s="107"/>
      <c r="E130" s="113"/>
      <c r="F130" s="106" t="str">
        <f t="shared" si="6"/>
        <v>Fail</v>
      </c>
      <c r="H130" s="9">
        <f t="shared" si="5"/>
        <v>1</v>
      </c>
    </row>
    <row r="131" spans="1:8" thickBot="1" x14ac:dyDescent="0.35">
      <c r="B131" s="249" t="str">
        <f>D_T02!B34</f>
        <v>Lighting</v>
      </c>
      <c r="C131" s="107"/>
      <c r="D131" s="107"/>
      <c r="E131" s="113"/>
      <c r="F131" s="106" t="str">
        <f t="shared" si="6"/>
        <v>Fail</v>
      </c>
      <c r="H131" s="9">
        <f t="shared" si="5"/>
        <v>1</v>
      </c>
    </row>
    <row r="132" spans="1:8" thickBot="1" x14ac:dyDescent="0.35">
      <c r="B132" s="249" t="str">
        <f>D_T02!B35</f>
        <v>Pool and Spa - none</v>
      </c>
      <c r="C132" s="107"/>
      <c r="D132" s="107"/>
      <c r="E132" s="113"/>
      <c r="F132" s="106" t="str">
        <f t="shared" si="6"/>
        <v>Fail</v>
      </c>
      <c r="H132" s="9">
        <f t="shared" si="5"/>
        <v>1</v>
      </c>
    </row>
    <row r="133" spans="1:8" thickBot="1" x14ac:dyDescent="0.35">
      <c r="B133" s="250" t="str">
        <f>D_T02!B38</f>
        <v>Area Weighted Fenestration U-Factor Value</v>
      </c>
      <c r="C133" s="107"/>
      <c r="D133" s="107"/>
      <c r="E133" s="111"/>
      <c r="F133" s="106" t="s">
        <v>63</v>
      </c>
      <c r="H133" s="9">
        <f t="shared" si="5"/>
        <v>0</v>
      </c>
    </row>
    <row r="134" spans="1:8" thickBot="1" x14ac:dyDescent="0.35">
      <c r="B134" s="250" t="str">
        <f>D_T02!B39</f>
        <v>Area Weighted Fenestration SHGC Value</v>
      </c>
      <c r="C134" s="107"/>
      <c r="D134" s="107"/>
      <c r="E134" s="104"/>
      <c r="F134" s="106" t="str">
        <f>IF(E134&gt;UA_T02!S27,IF(E134&lt;=UA_T02!S28,"Pass","Fail"),"Fail")</f>
        <v>Fail</v>
      </c>
      <c r="H134" s="9">
        <f t="shared" si="5"/>
        <v>1</v>
      </c>
    </row>
    <row r="135" spans="1:8" thickBot="1" x14ac:dyDescent="0.35">
      <c r="B135" s="250" t="str">
        <f>D_T02!B40</f>
        <v>Total Thermal Envelope UA Value</v>
      </c>
      <c r="C135" s="107"/>
      <c r="D135" s="107"/>
      <c r="E135" s="104"/>
      <c r="F135" s="106" t="str">
        <f>IF(E135&gt;=UA_T02!H27,IF(E135&lt;=UA_T02!H28,"Pass","Fail"),"Fail")</f>
        <v>Fail</v>
      </c>
      <c r="H135" s="9">
        <f t="shared" si="5"/>
        <v>1</v>
      </c>
    </row>
    <row r="136" spans="1:8" thickBot="1" x14ac:dyDescent="0.35">
      <c r="B136" s="250" t="str">
        <f>D_T02!B41</f>
        <v>Area Weighted Fenestration U-Factor Result</v>
      </c>
      <c r="C136" s="107"/>
      <c r="D136" s="107"/>
      <c r="E136" s="111"/>
      <c r="F136" s="106" t="s">
        <v>63</v>
      </c>
      <c r="H136" s="9">
        <f t="shared" si="5"/>
        <v>0</v>
      </c>
    </row>
    <row r="137" spans="1:8" thickBot="1" x14ac:dyDescent="0.35">
      <c r="B137" s="250" t="str">
        <f>D_T02!B42</f>
        <v>Area Weighted Fenestration SHGC Result</v>
      </c>
      <c r="C137" s="107"/>
      <c r="D137" s="107"/>
      <c r="E137" s="104"/>
      <c r="F137" s="106" t="str">
        <f>IF(E137="Average SHGC too high","Pass","Fail")</f>
        <v>Fail</v>
      </c>
      <c r="H137" s="9">
        <f t="shared" si="5"/>
        <v>1</v>
      </c>
    </row>
    <row r="138" spans="1:8" ht="18" customHeight="1" thickBot="1" x14ac:dyDescent="0.35">
      <c r="B138" s="250" t="str">
        <f>D_T02!B43</f>
        <v>Baseline Thermal Envelope UA Value</v>
      </c>
      <c r="C138" s="107"/>
      <c r="D138" s="107"/>
      <c r="E138" s="104"/>
      <c r="F138" s="106" t="str">
        <f>IF(E138&gt;=UA_T02!J27,IF(E138&lt;=UA_T02!J28,"Pass","Fail"),"Fail")</f>
        <v>Fail</v>
      </c>
      <c r="H138" s="9">
        <f t="shared" si="5"/>
        <v>1</v>
      </c>
    </row>
    <row r="139" spans="1:8" thickBot="1" x14ac:dyDescent="0.35">
      <c r="B139" s="250" t="str">
        <f>D_T02!B44</f>
        <v>Total Thermal Envelope UA Result</v>
      </c>
      <c r="C139" s="107"/>
      <c r="D139" s="107"/>
      <c r="E139" s="104"/>
      <c r="F139" s="106" t="str">
        <f>IF(E139="Complies","Pass","Fail")</f>
        <v>Fail</v>
      </c>
      <c r="H139" s="9">
        <f t="shared" si="5"/>
        <v>1</v>
      </c>
    </row>
    <row r="140" spans="1:8" thickBot="1" x14ac:dyDescent="0.35">
      <c r="B140" s="250" t="str">
        <f>D_T02!B45</f>
        <v>House Complies?</v>
      </c>
      <c r="C140" s="107"/>
      <c r="D140" s="107"/>
      <c r="E140" s="104"/>
      <c r="F140" s="106" t="str">
        <f>IF(E140="No","Pass","Fail")</f>
        <v>Fail</v>
      </c>
      <c r="H140" s="9">
        <f t="shared" si="5"/>
        <v>1</v>
      </c>
    </row>
    <row r="141" spans="1:8" ht="21.6" customHeight="1" x14ac:dyDescent="0.5">
      <c r="E141" s="15" t="s">
        <v>85</v>
      </c>
      <c r="F141" s="16" t="str">
        <f>IF(H141&gt;0,"FAIL","PASS")</f>
        <v>FAIL</v>
      </c>
      <c r="H141" s="258">
        <f xml:space="preserve"> SUM(H105:H140)</f>
        <v>20</v>
      </c>
    </row>
    <row r="142" spans="1:8" ht="8.4499999999999993" customHeight="1" x14ac:dyDescent="0.3">
      <c r="A142" s="14"/>
      <c r="B142" s="14"/>
      <c r="C142" s="14"/>
      <c r="D142" s="14"/>
      <c r="E142" s="14"/>
      <c r="F142" s="14"/>
      <c r="G142" s="14"/>
    </row>
  </sheetData>
  <sheetProtection password="BDDF" sheet="1" objects="1" scenarios="1"/>
  <mergeCells count="3">
    <mergeCell ref="D3:E3"/>
    <mergeCell ref="D52:E52"/>
    <mergeCell ref="D99:E99"/>
  </mergeCells>
  <dataValidations count="28">
    <dataValidation type="list" allowBlank="1" showInputMessage="1" showErrorMessage="1" sqref="E127 E80 C33">
      <formula1>MechanicalVent</formula1>
    </dataValidation>
    <dataValidation type="list" allowBlank="1" showInputMessage="1" showErrorMessage="1" sqref="E93 C46 E140">
      <formula1>Complies</formula1>
    </dataValidation>
    <dataValidation type="list" allowBlank="1" showInputMessage="1" showErrorMessage="1" sqref="C60 C107 C109 C112 C114 C116 C118 C62 C65 C67 C69 C71">
      <formula1>UCalcMethod</formula1>
    </dataValidation>
    <dataValidation type="decimal" allowBlank="1" showInputMessage="1" showErrorMessage="1" sqref="D135 D138">
      <formula1>0</formula1>
      <formula2>1000</formula2>
    </dataValidation>
    <dataValidation type="list" allowBlank="1" showInputMessage="1" showErrorMessage="1" sqref="C41 C44:C45 E139">
      <formula1>TotalUA</formula1>
    </dataValidation>
    <dataValidation type="list" allowBlank="1" showInputMessage="1" showErrorMessage="1" sqref="C43 E90 E137">
      <formula1>OverallFenSHGC</formula1>
    </dataValidation>
    <dataValidation type="list" allowBlank="1" showInputMessage="1" showErrorMessage="1" sqref="C42 E89">
      <formula1>OverallFenU</formula1>
    </dataValidation>
    <dataValidation type="decimal" allowBlank="1" showInputMessage="1" showErrorMessage="1" sqref="D107 D65 D60 D62 C40 D109 D112 D118 D116 D114 D71 D69 D67">
      <formula1>0</formula1>
      <formula2>1</formula2>
    </dataValidation>
    <dataValidation type="decimal" allowBlank="1" showInputMessage="1" showErrorMessage="1" sqref="C39 D72 D61 D110:D111 D63:D64 D66 D68 D113 D115 D117 D108 D70 D119">
      <formula1>0</formula1>
      <formula2>2</formula2>
    </dataValidation>
    <dataValidation type="list" allowBlank="1" showInputMessage="1" showErrorMessage="1" sqref="C15 C18 C20 C22 C24 E71 E62 E65 E69 E67">
      <formula1>Wall</formula1>
    </dataValidation>
    <dataValidation type="list" allowBlank="1" showInputMessage="1" showErrorMessage="1" sqref="C38 E85 E132">
      <formula1>PoolandSpa</formula1>
    </dataValidation>
    <dataValidation type="list" allowBlank="1" showInputMessage="1" showErrorMessage="1" sqref="C37 E84 E131">
      <formula1>Lighting</formula1>
    </dataValidation>
    <dataValidation type="list" allowBlank="1" showInputMessage="1" showErrorMessage="1" sqref="C36 E83 E130">
      <formula1>HotWaterCirculation</formula1>
    </dataValidation>
    <dataValidation type="list" allowBlank="1" showInputMessage="1" showErrorMessage="1" sqref="C35 E82 E129">
      <formula1>HotWaterLines</formula1>
    </dataValidation>
    <dataValidation type="list" allowBlank="1" showInputMessage="1" showErrorMessage="1" sqref="C34 E81 E128">
      <formula1>HotWaterSystem</formula1>
    </dataValidation>
    <dataValidation type="list" allowBlank="1" showInputMessage="1" showErrorMessage="1" sqref="C32 E79 E126">
      <formula1>AirHandler</formula1>
    </dataValidation>
    <dataValidation type="list" allowBlank="1" showInputMessage="1" showErrorMessage="1" sqref="C31 E78 E125">
      <formula1>DuctTightness</formula1>
    </dataValidation>
    <dataValidation type="list" allowBlank="1" showInputMessage="1" showErrorMessage="1" sqref="C30 E77 E124">
      <formula1>ReturnDucts</formula1>
    </dataValidation>
    <dataValidation type="list" allowBlank="1" showInputMessage="1" showErrorMessage="1" sqref="C29 E76 E123">
      <formula1>SupplyDucts</formula1>
    </dataValidation>
    <dataValidation type="list" allowBlank="1" showInputMessage="1" showErrorMessage="1" sqref="C28 E75 E122">
      <formula1>Cooling</formula1>
    </dataValidation>
    <dataValidation type="list" allowBlank="1" showInputMessage="1" showErrorMessage="1" sqref="C27 E74 E121">
      <formula1>Heating</formula1>
    </dataValidation>
    <dataValidation type="list" allowBlank="1" showInputMessage="1" showErrorMessage="1" sqref="C26 E73 E120">
      <formula1>Infiltration</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16 C110 E63">
      <formula1>Door</formula1>
    </dataValidation>
    <dataValidation type="list" allowBlank="1" showInputMessage="1" showErrorMessage="1" sqref="C14 C61 E61 C108 E108">
      <formula1>Skylight</formula1>
    </dataValidation>
    <dataValidation type="list" allowBlank="1" showInputMessage="1" showErrorMessage="1" sqref="C13 E60">
      <formula1>Ceiling</formula1>
    </dataValidation>
    <dataValidation type="list" allowBlank="1" showInputMessage="1" showErrorMessage="1" sqref="C12 E59">
      <formula1>Roof</formula1>
    </dataValidation>
    <dataValidation type="list" allowBlank="1" showInputMessage="1" showErrorMessage="1" sqref="C11 E58">
      <formula1>Floor</formula1>
    </dataValidation>
  </dataValidations>
  <pageMargins left="0.7" right="0.7" top="0.75" bottom="0.75" header="0.3" footer="0.3"/>
  <pageSetup scale="66" orientation="portrait" r:id="rId1"/>
  <rowBreaks count="2" manualBreakCount="2">
    <brk id="48" max="5" man="1"/>
    <brk id="9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106"/>
  <sheetViews>
    <sheetView zoomScaleNormal="100" zoomScaleSheetLayoutView="37" workbookViewId="0">
      <selection activeCell="T24" sqref="T24"/>
    </sheetView>
  </sheetViews>
  <sheetFormatPr defaultColWidth="9.140625" defaultRowHeight="15" x14ac:dyDescent="0.25"/>
  <cols>
    <col min="1" max="1" width="4.5703125" style="307" customWidth="1"/>
    <col min="2" max="2" width="8.28515625" style="307" customWidth="1"/>
    <col min="3" max="3" width="49.85546875" style="307" customWidth="1"/>
    <col min="4" max="5" width="12.7109375" style="307" customWidth="1"/>
    <col min="6" max="6" width="13.28515625" style="307" customWidth="1"/>
    <col min="7" max="7" width="11.5703125" style="307" customWidth="1"/>
    <col min="8" max="8" width="11.28515625" style="307" customWidth="1"/>
    <col min="9" max="10" width="11.140625" style="307" customWidth="1"/>
    <col min="11" max="12" width="12" style="307" customWidth="1"/>
    <col min="13" max="13" width="10.5703125" style="307" customWidth="1"/>
    <col min="14" max="14" width="12" style="307" customWidth="1"/>
    <col min="15" max="15" width="10.140625" style="307" customWidth="1"/>
    <col min="16" max="20" width="12" style="307" customWidth="1"/>
    <col min="21" max="16384" width="9.140625" style="307"/>
  </cols>
  <sheetData>
    <row r="2" spans="2:20" ht="14.45" x14ac:dyDescent="0.3">
      <c r="B2" s="453" t="str">
        <f>D_T02!B2</f>
        <v xml:space="preserve">Prescriptive Test: House T02 (Pr-T02) Characteristics – Location: Tampa, Florida. </v>
      </c>
      <c r="C2" s="453"/>
      <c r="D2" s="453"/>
      <c r="E2" s="453"/>
      <c r="F2" s="333"/>
    </row>
    <row r="3" spans="2:20" ht="14.45" x14ac:dyDescent="0.3">
      <c r="B3" s="453" t="str">
        <f>D_T02!B3</f>
        <v>Single Family Detached Home with No Attached Garage, Single Story, Three bedroom.</v>
      </c>
      <c r="C3" s="453"/>
      <c r="D3" s="453"/>
      <c r="E3" s="453"/>
      <c r="F3" s="333"/>
    </row>
    <row r="4" spans="2:20" ht="14.45" x14ac:dyDescent="0.3">
      <c r="E4" s="263"/>
    </row>
    <row r="5" spans="2:20" ht="18.75" customHeight="1" x14ac:dyDescent="0.3">
      <c r="B5" s="328" t="s">
        <v>414</v>
      </c>
      <c r="C5" s="328"/>
      <c r="D5" s="328"/>
      <c r="E5" s="328"/>
      <c r="F5" s="328"/>
      <c r="G5" s="328"/>
      <c r="H5" s="328"/>
      <c r="I5" s="328"/>
      <c r="J5" s="328"/>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05">
        <v>1</v>
      </c>
      <c r="C8" s="225" t="str">
        <f>D_T02!B8</f>
        <v>Slab-on-grade Floor</v>
      </c>
      <c r="D8" s="39" t="s">
        <v>30</v>
      </c>
      <c r="E8" s="40"/>
      <c r="F8" s="41"/>
      <c r="G8" s="42"/>
      <c r="H8" s="41"/>
      <c r="I8" s="289"/>
      <c r="J8" s="289"/>
      <c r="K8" s="39"/>
      <c r="L8" s="41"/>
      <c r="M8" s="40"/>
      <c r="N8" s="41"/>
      <c r="O8" s="44"/>
      <c r="P8" s="41"/>
      <c r="Q8" s="44"/>
      <c r="R8" s="41"/>
      <c r="S8" s="44"/>
      <c r="T8" s="41"/>
    </row>
    <row r="9" spans="2:20" ht="15" customHeight="1" x14ac:dyDescent="0.3">
      <c r="B9" s="264">
        <v>2</v>
      </c>
      <c r="C9" s="226" t="str">
        <f>D_T02!B9</f>
        <v>Roof – gable type- 5 in 12 slope No overhangs</v>
      </c>
      <c r="D9" s="47" t="s">
        <v>33</v>
      </c>
      <c r="E9" s="265"/>
      <c r="F9" s="49"/>
      <c r="G9" s="47"/>
      <c r="H9" s="49"/>
      <c r="I9" s="265"/>
      <c r="J9" s="265"/>
      <c r="K9" s="47"/>
      <c r="L9" s="49"/>
      <c r="M9" s="265"/>
      <c r="N9" s="49"/>
      <c r="O9" s="264"/>
      <c r="P9" s="49"/>
      <c r="Q9" s="264"/>
      <c r="R9" s="49"/>
      <c r="S9" s="264"/>
      <c r="T9" s="49"/>
    </row>
    <row r="10" spans="2:20" ht="15" customHeight="1" x14ac:dyDescent="0.3">
      <c r="B10" s="264">
        <v>3</v>
      </c>
      <c r="C10" s="226" t="str">
        <f>D_T02!B10</f>
        <v>Ceiling1 –flat under attic</v>
      </c>
      <c r="D10" s="47" t="s">
        <v>34</v>
      </c>
      <c r="E10" s="135">
        <f>D_T02!G10</f>
        <v>2000</v>
      </c>
      <c r="F10" s="207">
        <f>E10-E11</f>
        <v>1990</v>
      </c>
      <c r="G10" s="208">
        <f>D55</f>
        <v>3.4267920123583803E-2</v>
      </c>
      <c r="H10" s="204">
        <f t="shared" ref="H10:H22" si="0">$G10*$F10</f>
        <v>68.193161045931774</v>
      </c>
      <c r="I10" s="138">
        <f>D35</f>
        <v>0.03</v>
      </c>
      <c r="J10" s="125">
        <f t="shared" ref="J10:J22" si="1">$I10*$F10</f>
        <v>59.699999999999996</v>
      </c>
      <c r="K10" s="51"/>
      <c r="L10" s="50"/>
      <c r="M10" s="265"/>
      <c r="N10" s="49"/>
      <c r="O10" s="264"/>
      <c r="P10" s="49"/>
      <c r="Q10" s="264"/>
      <c r="R10" s="49"/>
      <c r="S10" s="264"/>
      <c r="T10" s="49"/>
    </row>
    <row r="11" spans="2:20" ht="15" customHeight="1" x14ac:dyDescent="0.3">
      <c r="B11" s="264">
        <v>4</v>
      </c>
      <c r="C11" s="226" t="str">
        <f>D_T02!B11</f>
        <v xml:space="preserve">        Skylight</v>
      </c>
      <c r="D11" s="47" t="s">
        <v>35</v>
      </c>
      <c r="E11" s="135">
        <f>D_T02!G11</f>
        <v>10</v>
      </c>
      <c r="F11" s="207">
        <f>E11</f>
        <v>10</v>
      </c>
      <c r="G11" s="208">
        <f>D_T02!E11</f>
        <v>0.65</v>
      </c>
      <c r="H11" s="204">
        <f t="shared" si="0"/>
        <v>6.5</v>
      </c>
      <c r="I11" s="138">
        <f>D38</f>
        <v>0.65</v>
      </c>
      <c r="J11" s="125">
        <f t="shared" si="1"/>
        <v>6.5</v>
      </c>
      <c r="K11" s="203">
        <f>E11</f>
        <v>10</v>
      </c>
      <c r="L11" s="204">
        <f>E11</f>
        <v>10</v>
      </c>
      <c r="M11" s="138">
        <f>$G11</f>
        <v>0.65</v>
      </c>
      <c r="N11" s="204">
        <f>K11*M11</f>
        <v>6.5</v>
      </c>
      <c r="O11" s="341">
        <f>$G11</f>
        <v>0.65</v>
      </c>
      <c r="P11" s="204">
        <f>O11*L11</f>
        <v>6.5</v>
      </c>
      <c r="Q11" s="341">
        <f>D_T02!F11</f>
        <v>0.25</v>
      </c>
      <c r="R11" s="204">
        <f>K11*Q11</f>
        <v>2.5</v>
      </c>
      <c r="S11" s="341">
        <f>$Q11</f>
        <v>0.25</v>
      </c>
      <c r="T11" s="204">
        <f>S11*L11</f>
        <v>2.5</v>
      </c>
    </row>
    <row r="12" spans="2:20" ht="15" customHeight="1" x14ac:dyDescent="0.3">
      <c r="B12" s="264">
        <v>5</v>
      </c>
      <c r="C12" s="226" t="str">
        <f>D_T02!B12</f>
        <v>Wall 1 –faces North, CBS2</v>
      </c>
      <c r="D12" s="47" t="s">
        <v>36</v>
      </c>
      <c r="E12" s="135">
        <f>D_T02!G12</f>
        <v>500</v>
      </c>
      <c r="F12" s="207">
        <f>E12-E13-E14</f>
        <v>401</v>
      </c>
      <c r="G12" s="208">
        <f>D71</f>
        <v>0.10312926159551063</v>
      </c>
      <c r="H12" s="204">
        <f t="shared" si="0"/>
        <v>41.354833899799765</v>
      </c>
      <c r="I12" s="138">
        <f>D36</f>
        <v>0.14000000000000001</v>
      </c>
      <c r="J12" s="125">
        <f t="shared" si="1"/>
        <v>56.140000000000008</v>
      </c>
      <c r="K12" s="203"/>
      <c r="L12" s="204"/>
      <c r="M12" s="135"/>
      <c r="N12" s="205"/>
      <c r="O12" s="340"/>
      <c r="P12" s="205"/>
      <c r="Q12" s="340"/>
      <c r="R12" s="205"/>
      <c r="S12" s="341"/>
      <c r="T12" s="205"/>
    </row>
    <row r="13" spans="2:20" ht="15" customHeight="1" x14ac:dyDescent="0.3">
      <c r="B13" s="264">
        <v>6</v>
      </c>
      <c r="C13" s="226" t="str">
        <f>D_T02!B13</f>
        <v xml:space="preserve">        Door 1 </v>
      </c>
      <c r="D13" s="47" t="s">
        <v>38</v>
      </c>
      <c r="E13" s="135">
        <f>D_T02!G13</f>
        <v>24</v>
      </c>
      <c r="F13" s="207">
        <f>E13</f>
        <v>24</v>
      </c>
      <c r="G13" s="208">
        <f>D_T02!E13</f>
        <v>0.8</v>
      </c>
      <c r="H13" s="204">
        <f t="shared" si="0"/>
        <v>19.200000000000003</v>
      </c>
      <c r="I13" s="138">
        <f>D39</f>
        <v>0.4</v>
      </c>
      <c r="J13" s="125">
        <f t="shared" si="1"/>
        <v>9.6000000000000014</v>
      </c>
      <c r="K13" s="203">
        <f>IF(E13&lt;=Selections!$C$32,0,E13)</f>
        <v>0</v>
      </c>
      <c r="L13" s="204">
        <f>E13</f>
        <v>24</v>
      </c>
      <c r="M13" s="135">
        <v>0</v>
      </c>
      <c r="N13" s="204">
        <f>K13*M13</f>
        <v>0</v>
      </c>
      <c r="O13" s="341">
        <f>$G13</f>
        <v>0.8</v>
      </c>
      <c r="P13" s="204">
        <f>O13*L13</f>
        <v>19.200000000000003</v>
      </c>
      <c r="Q13" s="340">
        <f>D_T02!F13</f>
        <v>0</v>
      </c>
      <c r="R13" s="204">
        <f>K13*Q13</f>
        <v>0</v>
      </c>
      <c r="S13" s="140">
        <f t="shared" ref="S13:S22" si="2">$Q13</f>
        <v>0</v>
      </c>
      <c r="T13" s="204">
        <f>S13*L13</f>
        <v>0</v>
      </c>
    </row>
    <row r="14" spans="2:20" ht="15" customHeight="1" x14ac:dyDescent="0.3">
      <c r="B14" s="264">
        <v>7</v>
      </c>
      <c r="C14" s="226" t="str">
        <f>D_T02!B14</f>
        <v xml:space="preserve">        Window 1 – Metal Frame Double Clear</v>
      </c>
      <c r="D14" s="47" t="s">
        <v>37</v>
      </c>
      <c r="E14" s="135">
        <f>D_T02!G14</f>
        <v>75</v>
      </c>
      <c r="F14" s="207">
        <f>E14</f>
        <v>75</v>
      </c>
      <c r="G14" s="208">
        <f>D_T02!E14</f>
        <v>0.68</v>
      </c>
      <c r="H14" s="204">
        <f t="shared" si="0"/>
        <v>51.000000000000007</v>
      </c>
      <c r="I14" s="138">
        <f>D40</f>
        <v>0.4</v>
      </c>
      <c r="J14" s="125">
        <f t="shared" si="1"/>
        <v>30</v>
      </c>
      <c r="K14" s="203">
        <f>IF(E14&lt;=Selections!$C$33,0,E14)</f>
        <v>75</v>
      </c>
      <c r="L14" s="204">
        <f>E14</f>
        <v>75</v>
      </c>
      <c r="M14" s="138">
        <f>$G14</f>
        <v>0.68</v>
      </c>
      <c r="N14" s="204">
        <f>K14*M14</f>
        <v>51.000000000000007</v>
      </c>
      <c r="O14" s="341">
        <f>$G14</f>
        <v>0.68</v>
      </c>
      <c r="P14" s="204">
        <f>O14*L14</f>
        <v>51.000000000000007</v>
      </c>
      <c r="Q14" s="341">
        <f>D_T02!F14</f>
        <v>0.46</v>
      </c>
      <c r="R14" s="204">
        <f>K14*Q14</f>
        <v>34.5</v>
      </c>
      <c r="S14" s="341">
        <f t="shared" si="2"/>
        <v>0.46</v>
      </c>
      <c r="T14" s="204">
        <f>S14*L14</f>
        <v>34.5</v>
      </c>
    </row>
    <row r="15" spans="2:20" ht="15" customHeight="1" x14ac:dyDescent="0.3">
      <c r="B15" s="264">
        <v>8</v>
      </c>
      <c r="C15" s="226" t="str">
        <f>D_T02!B15</f>
        <v>Wall 2 –faces East, CBS</v>
      </c>
      <c r="D15" s="52" t="s">
        <v>36</v>
      </c>
      <c r="E15" s="135">
        <f>D_T02!G15</f>
        <v>400</v>
      </c>
      <c r="F15" s="207">
        <f>E15-E16</f>
        <v>325</v>
      </c>
      <c r="G15" s="208">
        <f>D71</f>
        <v>0.10312926159551063</v>
      </c>
      <c r="H15" s="204">
        <f t="shared" si="0"/>
        <v>33.517010018540951</v>
      </c>
      <c r="I15" s="138">
        <f>D36</f>
        <v>0.14000000000000001</v>
      </c>
      <c r="J15" s="125">
        <f t="shared" si="1"/>
        <v>45.500000000000007</v>
      </c>
      <c r="K15" s="203"/>
      <c r="L15" s="204"/>
      <c r="M15" s="135"/>
      <c r="N15" s="205"/>
      <c r="O15" s="340"/>
      <c r="P15" s="205"/>
      <c r="Q15" s="340"/>
      <c r="R15" s="205"/>
      <c r="S15" s="341"/>
      <c r="T15" s="205"/>
    </row>
    <row r="16" spans="2:20" ht="15" customHeight="1" x14ac:dyDescent="0.3">
      <c r="B16" s="264">
        <v>9</v>
      </c>
      <c r="C16" s="226" t="str">
        <f>D_T02!B16</f>
        <v xml:space="preserve">        Window 2 – Vinyl Frame Low-e Double</v>
      </c>
      <c r="D16" s="47" t="s">
        <v>37</v>
      </c>
      <c r="E16" s="135">
        <f>D_T02!G16</f>
        <v>75</v>
      </c>
      <c r="F16" s="207">
        <f>E16</f>
        <v>75</v>
      </c>
      <c r="G16" s="208">
        <f>D_T02!E16</f>
        <v>0.27</v>
      </c>
      <c r="H16" s="204">
        <f t="shared" si="0"/>
        <v>20.25</v>
      </c>
      <c r="I16" s="138">
        <f>D41</f>
        <v>0.4</v>
      </c>
      <c r="J16" s="125">
        <f t="shared" si="1"/>
        <v>30</v>
      </c>
      <c r="K16" s="203">
        <f>IF(E16&lt;=Selections!$C$33,0,E16)</f>
        <v>75</v>
      </c>
      <c r="L16" s="204">
        <f>E16</f>
        <v>75</v>
      </c>
      <c r="M16" s="138">
        <f>$G16</f>
        <v>0.27</v>
      </c>
      <c r="N16" s="204">
        <f>K16*M16</f>
        <v>20.25</v>
      </c>
      <c r="O16" s="341">
        <f>$G16</f>
        <v>0.27</v>
      </c>
      <c r="P16" s="204">
        <f>O16*L16</f>
        <v>20.25</v>
      </c>
      <c r="Q16" s="341">
        <f>D_T02!F16</f>
        <v>0.17</v>
      </c>
      <c r="R16" s="204">
        <f>K16*Q16</f>
        <v>12.750000000000002</v>
      </c>
      <c r="S16" s="341">
        <f t="shared" si="2"/>
        <v>0.17</v>
      </c>
      <c r="T16" s="204">
        <f>S16*L16</f>
        <v>12.750000000000002</v>
      </c>
    </row>
    <row r="17" spans="2:20" ht="15" customHeight="1" x14ac:dyDescent="0.3">
      <c r="B17" s="264">
        <v>10</v>
      </c>
      <c r="C17" s="226" t="str">
        <f>D_T02!B17</f>
        <v>Wall 3 –faces South, CBS</v>
      </c>
      <c r="D17" s="47" t="s">
        <v>36</v>
      </c>
      <c r="E17" s="135">
        <f>D_T02!G17</f>
        <v>400</v>
      </c>
      <c r="F17" s="207">
        <f>E17-E18</f>
        <v>385</v>
      </c>
      <c r="G17" s="208">
        <f>D71</f>
        <v>0.10312926159551063</v>
      </c>
      <c r="H17" s="204">
        <f t="shared" si="0"/>
        <v>39.704765714271595</v>
      </c>
      <c r="I17" s="138">
        <f>D36</f>
        <v>0.14000000000000001</v>
      </c>
      <c r="J17" s="125">
        <f t="shared" si="1"/>
        <v>53.900000000000006</v>
      </c>
      <c r="K17" s="203"/>
      <c r="L17" s="204"/>
      <c r="M17" s="135"/>
      <c r="N17" s="205"/>
      <c r="O17" s="340"/>
      <c r="P17" s="205"/>
      <c r="Q17" s="340"/>
      <c r="R17" s="205"/>
      <c r="S17" s="341"/>
      <c r="T17" s="205"/>
    </row>
    <row r="18" spans="2:20" ht="15" customHeight="1" x14ac:dyDescent="0.3">
      <c r="B18" s="264">
        <v>11</v>
      </c>
      <c r="C18" s="226" t="str">
        <f>D_T02!B18</f>
        <v xml:space="preserve">        Window 3 – Metal Frame, Single Pane</v>
      </c>
      <c r="D18" s="47" t="s">
        <v>37</v>
      </c>
      <c r="E18" s="135">
        <f>D_T02!G18</f>
        <v>15</v>
      </c>
      <c r="F18" s="207">
        <f>E18</f>
        <v>15</v>
      </c>
      <c r="G18" s="208">
        <f>D_T02!E18</f>
        <v>1.2</v>
      </c>
      <c r="H18" s="204">
        <f t="shared" si="0"/>
        <v>18</v>
      </c>
      <c r="I18" s="138">
        <f>D42</f>
        <v>0.4</v>
      </c>
      <c r="J18" s="125">
        <f t="shared" si="1"/>
        <v>6</v>
      </c>
      <c r="K18" s="203">
        <f>IF(E18&lt;=Selections!$C$33,0,E18)</f>
        <v>0</v>
      </c>
      <c r="L18" s="204">
        <f>E18</f>
        <v>15</v>
      </c>
      <c r="M18" s="138">
        <f>$G18</f>
        <v>1.2</v>
      </c>
      <c r="N18" s="204">
        <f>K18*M18</f>
        <v>0</v>
      </c>
      <c r="O18" s="341">
        <f>$G18</f>
        <v>1.2</v>
      </c>
      <c r="P18" s="204">
        <f>O18*L18</f>
        <v>18</v>
      </c>
      <c r="Q18" s="341">
        <f>D_T02!F18</f>
        <v>0.8</v>
      </c>
      <c r="R18" s="204">
        <f>K18*Q18</f>
        <v>0</v>
      </c>
      <c r="S18" s="341">
        <f t="shared" si="2"/>
        <v>0.8</v>
      </c>
      <c r="T18" s="204">
        <f>S18*L18</f>
        <v>12</v>
      </c>
    </row>
    <row r="19" spans="2:20" ht="15" customHeight="1" x14ac:dyDescent="0.3">
      <c r="B19" s="264">
        <v>12</v>
      </c>
      <c r="C19" s="226" t="str">
        <f>D_T02!B19</f>
        <v>Wall 4 –faces South, Wood3 2x4 Studs</v>
      </c>
      <c r="D19" s="47" t="s">
        <v>36</v>
      </c>
      <c r="E19" s="135">
        <f>D_T02!G19</f>
        <v>100</v>
      </c>
      <c r="F19" s="207">
        <f>E19-E20</f>
        <v>40</v>
      </c>
      <c r="G19" s="208">
        <f>D86</f>
        <v>8.6865673938545357E-2</v>
      </c>
      <c r="H19" s="204">
        <f t="shared" si="0"/>
        <v>3.4746269575418145</v>
      </c>
      <c r="I19" s="138">
        <f>D37</f>
        <v>8.2000000000000003E-2</v>
      </c>
      <c r="J19" s="125">
        <f t="shared" si="1"/>
        <v>3.2800000000000002</v>
      </c>
      <c r="K19" s="203"/>
      <c r="L19" s="204"/>
      <c r="M19" s="135"/>
      <c r="N19" s="205"/>
      <c r="O19" s="340"/>
      <c r="P19" s="205"/>
      <c r="Q19" s="340"/>
      <c r="R19" s="205"/>
      <c r="S19" s="341"/>
      <c r="T19" s="205"/>
    </row>
    <row r="20" spans="2:20" ht="15" customHeight="1" x14ac:dyDescent="0.3">
      <c r="B20" s="264">
        <v>13</v>
      </c>
      <c r="C20" s="226" t="str">
        <f>D_T02!B20</f>
        <v xml:space="preserve">        Window 4 – Vinyl Frame  Low-e Double</v>
      </c>
      <c r="D20" s="47" t="s">
        <v>37</v>
      </c>
      <c r="E20" s="135">
        <f>D_T02!G20</f>
        <v>60</v>
      </c>
      <c r="F20" s="207">
        <f>E20</f>
        <v>60</v>
      </c>
      <c r="G20" s="208">
        <f>D_T02!E20</f>
        <v>0.27</v>
      </c>
      <c r="H20" s="204">
        <f t="shared" si="0"/>
        <v>16.200000000000003</v>
      </c>
      <c r="I20" s="138">
        <f>D41</f>
        <v>0.4</v>
      </c>
      <c r="J20" s="125">
        <f t="shared" si="1"/>
        <v>24</v>
      </c>
      <c r="K20" s="203">
        <f>IF(E20&lt;=Selections!$C$33,0,E20)</f>
        <v>60</v>
      </c>
      <c r="L20" s="204">
        <f>E20</f>
        <v>60</v>
      </c>
      <c r="M20" s="138">
        <f>$G20</f>
        <v>0.27</v>
      </c>
      <c r="N20" s="204">
        <f>K20*M20</f>
        <v>16.200000000000003</v>
      </c>
      <c r="O20" s="341">
        <f>$G20</f>
        <v>0.27</v>
      </c>
      <c r="P20" s="204">
        <f>O20*L20</f>
        <v>16.200000000000003</v>
      </c>
      <c r="Q20" s="341">
        <f>D_T02!F20</f>
        <v>0.17</v>
      </c>
      <c r="R20" s="204">
        <f>K20*Q20</f>
        <v>10.200000000000001</v>
      </c>
      <c r="S20" s="341">
        <f t="shared" si="2"/>
        <v>0.17</v>
      </c>
      <c r="T20" s="204">
        <f>S20*L20</f>
        <v>10.200000000000001</v>
      </c>
    </row>
    <row r="21" spans="2:20" ht="15" customHeight="1" x14ac:dyDescent="0.3">
      <c r="B21" s="264">
        <v>14</v>
      </c>
      <c r="C21" s="226" t="str">
        <f>D_T02!B21</f>
        <v>Wall 5 –faces West, CBS</v>
      </c>
      <c r="D21" s="47" t="s">
        <v>36</v>
      </c>
      <c r="E21" s="135">
        <f>D_T02!G21</f>
        <v>400</v>
      </c>
      <c r="F21" s="207">
        <f>E21-E22</f>
        <v>325</v>
      </c>
      <c r="G21" s="208">
        <f>D71</f>
        <v>0.10312926159551063</v>
      </c>
      <c r="H21" s="204">
        <f t="shared" si="0"/>
        <v>33.517010018540951</v>
      </c>
      <c r="I21" s="138">
        <f>D36</f>
        <v>0.14000000000000001</v>
      </c>
      <c r="J21" s="125">
        <f t="shared" si="1"/>
        <v>45.500000000000007</v>
      </c>
      <c r="K21" s="203"/>
      <c r="L21" s="204"/>
      <c r="M21" s="135"/>
      <c r="N21" s="205"/>
      <c r="O21" s="340"/>
      <c r="P21" s="205"/>
      <c r="Q21" s="340"/>
      <c r="R21" s="205"/>
      <c r="S21" s="341"/>
      <c r="T21" s="205"/>
    </row>
    <row r="22" spans="2:20" ht="15" customHeight="1" x14ac:dyDescent="0.3">
      <c r="B22" s="277">
        <v>15</v>
      </c>
      <c r="C22" s="227" t="str">
        <f>D_T02!B22</f>
        <v xml:space="preserve">        Window 5 – Vinyl Frame Low-e Double</v>
      </c>
      <c r="D22" s="54" t="s">
        <v>37</v>
      </c>
      <c r="E22" s="209">
        <f>D_T02!G22</f>
        <v>75</v>
      </c>
      <c r="F22" s="210">
        <f>E22</f>
        <v>75</v>
      </c>
      <c r="G22" s="211">
        <f>D_T02!E22</f>
        <v>0.27</v>
      </c>
      <c r="H22" s="206">
        <f t="shared" si="0"/>
        <v>20.25</v>
      </c>
      <c r="I22" s="126">
        <f>D41</f>
        <v>0.4</v>
      </c>
      <c r="J22" s="212">
        <f t="shared" si="1"/>
        <v>30</v>
      </c>
      <c r="K22" s="203">
        <f>IF(E22&lt;=Selections!$C$33,0,E22)</f>
        <v>75</v>
      </c>
      <c r="L22" s="206">
        <f>E22</f>
        <v>75</v>
      </c>
      <c r="M22" s="138">
        <f>$G22</f>
        <v>0.27</v>
      </c>
      <c r="N22" s="204">
        <f>K22*M22</f>
        <v>20.25</v>
      </c>
      <c r="O22" s="341">
        <f>$G22</f>
        <v>0.27</v>
      </c>
      <c r="P22" s="204">
        <f>O22*L22</f>
        <v>20.25</v>
      </c>
      <c r="Q22" s="341">
        <f>D_T02!F22</f>
        <v>0.17</v>
      </c>
      <c r="R22" s="204">
        <f>K22*Q22</f>
        <v>12.750000000000002</v>
      </c>
      <c r="S22" s="341">
        <f t="shared" si="2"/>
        <v>0.17</v>
      </c>
      <c r="T22" s="204">
        <f>S22*L22</f>
        <v>12.750000000000002</v>
      </c>
    </row>
    <row r="23" spans="2:20" ht="3.75" customHeight="1" x14ac:dyDescent="0.3">
      <c r="B23" s="318"/>
      <c r="C23" s="279"/>
      <c r="D23" s="56"/>
      <c r="E23" s="319"/>
      <c r="F23" s="57"/>
      <c r="G23" s="56"/>
      <c r="H23" s="57"/>
      <c r="I23" s="319"/>
      <c r="J23" s="319"/>
      <c r="K23" s="56"/>
      <c r="L23" s="57"/>
      <c r="M23" s="332"/>
      <c r="N23" s="59"/>
      <c r="O23" s="279"/>
      <c r="P23" s="59"/>
      <c r="Q23" s="279"/>
      <c r="R23" s="59"/>
      <c r="S23" s="279"/>
      <c r="T23" s="59"/>
    </row>
    <row r="24" spans="2:20" ht="15.6" x14ac:dyDescent="0.3">
      <c r="B24" s="330"/>
      <c r="C24" s="331" t="s">
        <v>134</v>
      </c>
      <c r="D24" s="62"/>
      <c r="E24" s="332"/>
      <c r="F24" s="59"/>
      <c r="G24" s="462"/>
      <c r="H24" s="456">
        <f>SUM(H10:H22)</f>
        <v>371.16140765462683</v>
      </c>
      <c r="I24" s="463"/>
      <c r="J24" s="458">
        <f>SUM(J10:J22)</f>
        <v>400.12</v>
      </c>
      <c r="K24" s="459">
        <f>SUM(K10:K22)</f>
        <v>295</v>
      </c>
      <c r="L24" s="456">
        <f>SUM(L10:L22)</f>
        <v>334</v>
      </c>
      <c r="M24" s="460">
        <f>N24/K24</f>
        <v>0.38711864406779661</v>
      </c>
      <c r="N24" s="456">
        <f>SUM(N10:N22)</f>
        <v>114.2</v>
      </c>
      <c r="O24" s="461">
        <f>P24/L24</f>
        <v>0.45329341317365279</v>
      </c>
      <c r="P24" s="456">
        <f>SUM(P10:P22)</f>
        <v>151.40000000000003</v>
      </c>
      <c r="Q24" s="461">
        <f>R24/K24</f>
        <v>0.2464406779661017</v>
      </c>
      <c r="R24" s="456">
        <f>SUM(R10:R22)</f>
        <v>72.7</v>
      </c>
      <c r="S24" s="461">
        <f>T24/(L24-L13)</f>
        <v>0.27322580645161293</v>
      </c>
      <c r="T24" s="456">
        <f>SUM(T10:T22)</f>
        <v>84.7</v>
      </c>
    </row>
    <row r="25" spans="2:20" ht="9.75" customHeight="1" x14ac:dyDescent="0.3">
      <c r="B25" s="337"/>
      <c r="C25" s="338"/>
      <c r="D25" s="65"/>
      <c r="E25" s="65"/>
      <c r="F25" s="65"/>
      <c r="G25" s="65"/>
      <c r="H25" s="66"/>
      <c r="I25" s="67"/>
      <c r="J25" s="66"/>
      <c r="K25" s="66"/>
      <c r="L25" s="66"/>
      <c r="M25" s="68"/>
      <c r="N25" s="66"/>
      <c r="O25" s="68"/>
      <c r="P25" s="66"/>
      <c r="Q25" s="68"/>
      <c r="R25" s="66"/>
      <c r="S25" s="68"/>
      <c r="T25" s="66"/>
    </row>
    <row r="26" spans="2:20" ht="45" customHeight="1" x14ac:dyDescent="0.3">
      <c r="B26" s="337"/>
      <c r="C26" s="214" t="str">
        <f>Selections!B25</f>
        <v>UA allowed deviation range in %</v>
      </c>
      <c r="D26" s="223">
        <f>Selections!C25</f>
        <v>0.02</v>
      </c>
      <c r="E26" s="322"/>
      <c r="G26" s="263"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263" t="s">
        <v>138</v>
      </c>
      <c r="H27" s="213">
        <f>H24-(H24*$D$26)</f>
        <v>363.73817950153432</v>
      </c>
      <c r="J27" s="213">
        <f>J24-(J24*$D$26)</f>
        <v>392.11759999999998</v>
      </c>
      <c r="K27" s="214"/>
      <c r="L27" s="214"/>
      <c r="M27" s="215">
        <f>M$24-$D$27</f>
        <v>0.38211864406779661</v>
      </c>
      <c r="N27" s="216">
        <f>N$24-$D$26*N$24</f>
        <v>111.916</v>
      </c>
      <c r="O27" s="217">
        <f>O$24-$D$27</f>
        <v>0.44829341317365279</v>
      </c>
      <c r="P27" s="216">
        <f>P$24-$D$26*P$24</f>
        <v>148.37200000000004</v>
      </c>
      <c r="Q27" s="217">
        <f>Q$24-$D$28</f>
        <v>0.24144067796610169</v>
      </c>
      <c r="R27" s="216">
        <f>R$24-$D$26*R$24</f>
        <v>71.246000000000009</v>
      </c>
      <c r="S27" s="217">
        <f>S$24-$D$28</f>
        <v>0.26822580645161292</v>
      </c>
      <c r="T27" s="216">
        <f>T$24-$D$26*T$24</f>
        <v>83.006</v>
      </c>
    </row>
    <row r="28" spans="2:20" ht="14.45" x14ac:dyDescent="0.3">
      <c r="C28" s="214" t="str">
        <f>Selections!B27</f>
        <v>SHGC allowed deviation range absolute</v>
      </c>
      <c r="D28" s="224">
        <f>Selections!C27</f>
        <v>5.0000000000000001E-3</v>
      </c>
      <c r="G28" s="263" t="s">
        <v>140</v>
      </c>
      <c r="H28" s="213">
        <f>H24*(1+$D$26)</f>
        <v>378.58463580771939</v>
      </c>
      <c r="J28" s="213">
        <f>J24*(1+$D$26)</f>
        <v>408.12240000000003</v>
      </c>
      <c r="K28" s="214"/>
      <c r="L28" s="214"/>
      <c r="M28" s="215">
        <f>M$24+$D$27</f>
        <v>0.39211864406779662</v>
      </c>
      <c r="N28" s="216">
        <f>N$24+$D$26*N$24</f>
        <v>116.48400000000001</v>
      </c>
      <c r="O28" s="217">
        <f>O$24+$D$28</f>
        <v>0.4582934131736528</v>
      </c>
      <c r="P28" s="216">
        <f>P$24+$D$26*P$24</f>
        <v>154.42800000000003</v>
      </c>
      <c r="Q28" s="217">
        <f>Q$24+$D$28</f>
        <v>0.2514406779661017</v>
      </c>
      <c r="R28" s="216">
        <f>R$24+$D$26*R$24</f>
        <v>74.153999999999996</v>
      </c>
      <c r="S28" s="217">
        <f>S$24+$D$28</f>
        <v>0.27822580645161293</v>
      </c>
      <c r="T28" s="216">
        <f>T$24+$D$26*T$24</f>
        <v>86.394000000000005</v>
      </c>
    </row>
    <row r="29" spans="2:20" ht="14.45" x14ac:dyDescent="0.3">
      <c r="D29" s="263"/>
      <c r="G29" s="263"/>
      <c r="I29" s="344"/>
      <c r="J29" s="344"/>
      <c r="M29" s="262"/>
      <c r="N29" s="261"/>
      <c r="O29" s="74"/>
      <c r="P29" s="261"/>
      <c r="Q29" s="74"/>
      <c r="R29" s="261"/>
      <c r="S29" s="74"/>
      <c r="T29" s="261"/>
    </row>
    <row r="30" spans="2:20" ht="13.5" customHeight="1" x14ac:dyDescent="0.3">
      <c r="B30" s="307" t="s">
        <v>242</v>
      </c>
    </row>
    <row r="31" spans="2:20" ht="19.5" customHeight="1" x14ac:dyDescent="0.3">
      <c r="B31" s="241" t="s">
        <v>261</v>
      </c>
      <c r="C31" s="331"/>
      <c r="D31" s="242"/>
      <c r="E31" s="65"/>
      <c r="F31" s="65"/>
      <c r="G31" s="65"/>
      <c r="H31" s="67"/>
      <c r="I31" s="261"/>
      <c r="J31" s="261"/>
      <c r="K31" s="261"/>
      <c r="L31" s="261"/>
      <c r="M31" s="74"/>
      <c r="N31" s="261"/>
      <c r="O31" s="74"/>
      <c r="P31" s="261"/>
      <c r="Q31" s="74"/>
      <c r="R31" s="261"/>
      <c r="S31" s="74"/>
      <c r="T31" s="261"/>
    </row>
    <row r="32" spans="2:20" ht="43.5" customHeight="1" x14ac:dyDescent="0.3">
      <c r="B32" s="278"/>
      <c r="C32" s="301" t="s">
        <v>141</v>
      </c>
      <c r="D32" s="283" t="s">
        <v>234</v>
      </c>
      <c r="F32" s="322"/>
      <c r="G32" s="322"/>
      <c r="H32" s="322"/>
    </row>
    <row r="33" spans="2:8" ht="14.45" x14ac:dyDescent="0.3">
      <c r="B33" s="305">
        <v>1</v>
      </c>
      <c r="C33" s="284" t="s">
        <v>30</v>
      </c>
      <c r="D33" s="412">
        <v>6.4000000000000001E-2</v>
      </c>
    </row>
    <row r="34" spans="2:8" ht="14.45" x14ac:dyDescent="0.3">
      <c r="B34" s="264">
        <v>2</v>
      </c>
      <c r="C34" s="285" t="s">
        <v>33</v>
      </c>
      <c r="D34" s="413"/>
    </row>
    <row r="35" spans="2:8" ht="14.45" x14ac:dyDescent="0.3">
      <c r="B35" s="264">
        <v>3</v>
      </c>
      <c r="C35" s="285" t="s">
        <v>419</v>
      </c>
      <c r="D35" s="413">
        <v>0.03</v>
      </c>
    </row>
    <row r="36" spans="2:8" ht="14.45" x14ac:dyDescent="0.3">
      <c r="B36" s="264">
        <v>4</v>
      </c>
      <c r="C36" s="285" t="s">
        <v>143</v>
      </c>
      <c r="D36" s="414">
        <v>0.14000000000000001</v>
      </c>
    </row>
    <row r="37" spans="2:8" ht="14.45" x14ac:dyDescent="0.3">
      <c r="B37" s="264">
        <v>5</v>
      </c>
      <c r="C37" s="285" t="s">
        <v>144</v>
      </c>
      <c r="D37" s="413">
        <v>8.2000000000000003E-2</v>
      </c>
    </row>
    <row r="38" spans="2:8" ht="14.45" x14ac:dyDescent="0.3">
      <c r="B38" s="264">
        <v>6</v>
      </c>
      <c r="C38" s="285" t="s">
        <v>35</v>
      </c>
      <c r="D38" s="315">
        <v>0.65</v>
      </c>
    </row>
    <row r="39" spans="2:8" ht="14.45" x14ac:dyDescent="0.3">
      <c r="B39" s="264">
        <v>7</v>
      </c>
      <c r="C39" s="285" t="s">
        <v>38</v>
      </c>
      <c r="D39" s="315">
        <v>0.4</v>
      </c>
    </row>
    <row r="40" spans="2:8" ht="14.45" x14ac:dyDescent="0.3">
      <c r="B40" s="264">
        <v>8</v>
      </c>
      <c r="C40" s="285" t="s">
        <v>387</v>
      </c>
      <c r="D40" s="315">
        <v>0.4</v>
      </c>
    </row>
    <row r="41" spans="2:8" ht="14.45" x14ac:dyDescent="0.3">
      <c r="B41" s="264">
        <v>9</v>
      </c>
      <c r="C41" s="285" t="s">
        <v>145</v>
      </c>
      <c r="D41" s="315">
        <v>0.4</v>
      </c>
    </row>
    <row r="42" spans="2:8" ht="14.45" x14ac:dyDescent="0.3">
      <c r="B42" s="277">
        <v>10</v>
      </c>
      <c r="C42" s="286" t="s">
        <v>388</v>
      </c>
      <c r="D42" s="411">
        <v>0.4</v>
      </c>
    </row>
    <row r="43" spans="2:8" ht="13.5" customHeight="1" x14ac:dyDescent="0.3">
      <c r="B43" s="265"/>
    </row>
    <row r="44" spans="2:8" ht="13.5" customHeight="1" x14ac:dyDescent="0.3">
      <c r="B44" s="265"/>
    </row>
    <row r="45" spans="2:8" ht="30.75" customHeight="1" x14ac:dyDescent="0.3">
      <c r="B45" s="307" t="s">
        <v>34</v>
      </c>
      <c r="C45" s="259" t="s">
        <v>241</v>
      </c>
    </row>
    <row r="46" spans="2:8" ht="31.5" customHeight="1" x14ac:dyDescent="0.3">
      <c r="B46" s="318"/>
      <c r="C46" s="296" t="s">
        <v>146</v>
      </c>
      <c r="D46" s="290" t="s">
        <v>147</v>
      </c>
      <c r="E46" s="272" t="s">
        <v>148</v>
      </c>
      <c r="F46" s="279" t="s">
        <v>142</v>
      </c>
      <c r="G46" s="332"/>
      <c r="H46" s="345"/>
    </row>
    <row r="47" spans="2:8" ht="14.45" x14ac:dyDescent="0.3">
      <c r="B47" s="318"/>
      <c r="C47" s="296" t="s">
        <v>395</v>
      </c>
      <c r="D47" s="124">
        <f>1-D_T02!C50</f>
        <v>0.92999999999999994</v>
      </c>
      <c r="E47" s="141">
        <f>D_T02!C50</f>
        <v>7.0000000000000007E-2</v>
      </c>
      <c r="G47" s="322"/>
      <c r="H47" s="323"/>
    </row>
    <row r="48" spans="2:8" ht="15.75" customHeight="1" x14ac:dyDescent="0.3">
      <c r="B48" s="264">
        <v>1</v>
      </c>
      <c r="C48" s="239" t="str">
        <f>D_T02!B53</f>
        <v>Attic Air film</v>
      </c>
      <c r="D48" s="300">
        <f>D_T02!C53</f>
        <v>0.61</v>
      </c>
      <c r="E48" s="142">
        <f>D_T02!C53</f>
        <v>0.61</v>
      </c>
      <c r="F48" s="294"/>
      <c r="G48" s="322"/>
      <c r="H48" s="323"/>
    </row>
    <row r="49" spans="2:8" ht="15.75" customHeight="1" x14ac:dyDescent="0.3">
      <c r="B49" s="264">
        <v>2</v>
      </c>
      <c r="C49" s="239" t="str">
        <f>D_T02!B54</f>
        <v>Batt Insulation R38</v>
      </c>
      <c r="D49" s="120">
        <f>D_T02!C54</f>
        <v>38</v>
      </c>
      <c r="E49" s="143">
        <v>0</v>
      </c>
      <c r="F49" s="308"/>
      <c r="G49" s="322"/>
      <c r="H49" s="323"/>
    </row>
    <row r="50" spans="2:8" ht="15.75" customHeight="1" x14ac:dyDescent="0.3">
      <c r="B50" s="264">
        <v>3</v>
      </c>
      <c r="C50" s="239" t="str">
        <f>D_T02!B55</f>
        <v>Wood Stud 2 x 4: Nominal</v>
      </c>
      <c r="D50" s="120">
        <v>0</v>
      </c>
      <c r="E50" s="142">
        <f>D_T02!C55</f>
        <v>4.38</v>
      </c>
      <c r="F50" s="308"/>
      <c r="G50" s="322"/>
      <c r="H50" s="323"/>
    </row>
    <row r="51" spans="2:8" ht="15.75" customHeight="1" x14ac:dyDescent="0.3">
      <c r="B51" s="264">
        <v>4</v>
      </c>
      <c r="C51" s="239" t="str">
        <f>D_T02!B56</f>
        <v xml:space="preserve">0.5 Inch Drywall </v>
      </c>
      <c r="D51" s="300">
        <f>D_T02!C56</f>
        <v>0.45</v>
      </c>
      <c r="E51" s="142">
        <f>D_T02!C56</f>
        <v>0.45</v>
      </c>
      <c r="F51" s="308"/>
      <c r="G51" s="322"/>
      <c r="H51" s="323"/>
    </row>
    <row r="52" spans="2:8" ht="15.75" customHeight="1" x14ac:dyDescent="0.3">
      <c r="B52" s="264">
        <v>5</v>
      </c>
      <c r="C52" s="239" t="str">
        <f>D_T02!B57</f>
        <v>Indoor Air film</v>
      </c>
      <c r="D52" s="300">
        <f>D_T02!C57</f>
        <v>0.92</v>
      </c>
      <c r="E52" s="142">
        <f>D_T02!C57</f>
        <v>0.92</v>
      </c>
      <c r="F52" s="308"/>
      <c r="G52" s="322"/>
      <c r="H52" s="323"/>
    </row>
    <row r="53" spans="2:8" ht="15.75" customHeight="1" x14ac:dyDescent="0.3">
      <c r="B53" s="264"/>
      <c r="C53" s="321" t="s">
        <v>158</v>
      </c>
      <c r="D53" s="300">
        <f>SUM(D48:D52)</f>
        <v>39.980000000000004</v>
      </c>
      <c r="E53" s="142">
        <f>SUM(E48:E52)</f>
        <v>6.36</v>
      </c>
      <c r="F53" s="308"/>
      <c r="G53" s="322"/>
      <c r="H53" s="323"/>
    </row>
    <row r="54" spans="2:8" ht="15.75" customHeight="1" x14ac:dyDescent="0.3">
      <c r="B54" s="277"/>
      <c r="C54" s="325" t="s">
        <v>159</v>
      </c>
      <c r="D54" s="123">
        <f>1/D53</f>
        <v>2.5012506253126562E-2</v>
      </c>
      <c r="E54" s="144">
        <f>1/E53</f>
        <v>0.15723270440251572</v>
      </c>
      <c r="F54" s="308"/>
      <c r="G54" s="322"/>
      <c r="H54" s="323"/>
    </row>
    <row r="55" spans="2:8" ht="18" customHeight="1" x14ac:dyDescent="0.3">
      <c r="B55" s="264"/>
      <c r="C55" s="329" t="s">
        <v>160</v>
      </c>
      <c r="D55" s="119">
        <f>D54*D47+E54*E47</f>
        <v>3.4267920123583803E-2</v>
      </c>
      <c r="E55" s="323"/>
      <c r="F55" s="308" t="s">
        <v>83</v>
      </c>
      <c r="G55" s="322"/>
      <c r="H55" s="323"/>
    </row>
    <row r="56" spans="2:8" ht="18" customHeight="1" x14ac:dyDescent="0.3">
      <c r="B56" s="277"/>
      <c r="C56" s="325" t="s">
        <v>161</v>
      </c>
      <c r="D56" s="128">
        <f>1/D55</f>
        <v>29.181811921867471</v>
      </c>
      <c r="E56" s="327"/>
      <c r="F56" s="324"/>
      <c r="G56" s="326"/>
      <c r="H56" s="327"/>
    </row>
    <row r="57" spans="2:8" ht="14.45" x14ac:dyDescent="0.3">
      <c r="B57" s="263"/>
      <c r="F57" s="322"/>
      <c r="G57" s="322"/>
      <c r="H57" s="322"/>
    </row>
    <row r="58" spans="2:8" ht="14.45" x14ac:dyDescent="0.3">
      <c r="B58" s="263"/>
      <c r="F58" s="322"/>
      <c r="G58" s="322"/>
      <c r="H58" s="322"/>
    </row>
    <row r="59" spans="2:8" ht="14.45" x14ac:dyDescent="0.3">
      <c r="B59" s="263"/>
      <c r="F59" s="322"/>
      <c r="G59" s="322"/>
      <c r="H59" s="322"/>
    </row>
    <row r="60" spans="2:8" ht="33.75" customHeight="1" x14ac:dyDescent="0.3">
      <c r="B60" s="263" t="s">
        <v>36</v>
      </c>
      <c r="C60" s="259" t="s">
        <v>382</v>
      </c>
      <c r="F60" s="322"/>
      <c r="G60" s="322"/>
      <c r="H60" s="322"/>
    </row>
    <row r="61" spans="2:8" ht="29.25" customHeight="1" x14ac:dyDescent="0.3">
      <c r="B61" s="279"/>
      <c r="C61" s="271" t="s">
        <v>146</v>
      </c>
      <c r="D61" s="272" t="s">
        <v>212</v>
      </c>
      <c r="E61" s="270"/>
      <c r="F61" s="279" t="s">
        <v>142</v>
      </c>
      <c r="G61" s="332"/>
      <c r="H61" s="345"/>
    </row>
    <row r="62" spans="2:8" ht="14.45" x14ac:dyDescent="0.3">
      <c r="B62" s="305">
        <v>1</v>
      </c>
      <c r="C62" s="229" t="str">
        <f>D_T02!B64</f>
        <v>Outside Air Film (7.5 mph wind, Summer)</v>
      </c>
      <c r="D62" s="118">
        <f>D_T02!C64</f>
        <v>0.25</v>
      </c>
      <c r="E62" s="306"/>
      <c r="G62" s="322"/>
      <c r="H62" s="323"/>
    </row>
    <row r="63" spans="2:8" ht="14.45" x14ac:dyDescent="0.3">
      <c r="B63" s="264">
        <v>2</v>
      </c>
      <c r="C63" s="239" t="str">
        <f>D_T02!B65</f>
        <v>Stucco (0.8 Inch thick, conductivity=9.7 Btu-in/h-ft2-°F)</v>
      </c>
      <c r="D63" s="119">
        <f>D_T02!C65</f>
        <v>8.2474226804123724E-2</v>
      </c>
      <c r="E63" s="323"/>
      <c r="F63" s="308"/>
      <c r="G63" s="322"/>
      <c r="H63" s="323"/>
    </row>
    <row r="64" spans="2:8" ht="14.45" x14ac:dyDescent="0.3">
      <c r="B64" s="264">
        <v>3</v>
      </c>
      <c r="C64" s="239" t="str">
        <f>D_T02!B66</f>
        <v>lathe</v>
      </c>
      <c r="D64" s="120">
        <f>D_T02!C66</f>
        <v>0</v>
      </c>
      <c r="E64" s="323"/>
      <c r="F64" s="308"/>
      <c r="G64" s="322"/>
      <c r="H64" s="323"/>
    </row>
    <row r="65" spans="2:8" ht="14.45" x14ac:dyDescent="0.3">
      <c r="B65" s="264">
        <v>4</v>
      </c>
      <c r="C65" s="239" t="str">
        <f>D_T02!B67</f>
        <v>8 Inch Hollow Concrete Block (Normal Density)</v>
      </c>
      <c r="D65" s="300">
        <f>D_T02!C106</f>
        <v>1.0140947636940258</v>
      </c>
      <c r="E65" s="323"/>
      <c r="F65" s="308"/>
      <c r="G65" s="322"/>
      <c r="H65" s="323"/>
    </row>
    <row r="66" spans="2:8" ht="14.45" x14ac:dyDescent="0.3">
      <c r="B66" s="264">
        <v>5</v>
      </c>
      <c r="C66" s="239" t="str">
        <f>D_T02!B68</f>
        <v>1 Inch R6 Insulation Board</v>
      </c>
      <c r="D66" s="120">
        <f>D_T02!C68</f>
        <v>6</v>
      </c>
      <c r="E66" s="323"/>
      <c r="F66" s="308"/>
      <c r="G66" s="322"/>
      <c r="H66" s="323"/>
    </row>
    <row r="67" spans="2:8" ht="14.45" x14ac:dyDescent="0.3">
      <c r="B67" s="264">
        <v>6</v>
      </c>
      <c r="C67" s="239" t="str">
        <f>D_T02!B69</f>
        <v>0.75 Inch Air Space with Furring at 16" on center</v>
      </c>
      <c r="D67" s="121">
        <f>D_T02!C69</f>
        <v>1.22</v>
      </c>
      <c r="E67" s="323"/>
      <c r="F67" s="308"/>
      <c r="G67" s="322"/>
      <c r="H67" s="323"/>
    </row>
    <row r="68" spans="2:8" ht="14.45" x14ac:dyDescent="0.3">
      <c r="B68" s="264">
        <v>7</v>
      </c>
      <c r="C68" s="239" t="str">
        <f>D_T02!B70</f>
        <v xml:space="preserve">0.5 Inch Drywall </v>
      </c>
      <c r="D68" s="121">
        <f>D_T02!C70</f>
        <v>0.45</v>
      </c>
      <c r="E68" s="323"/>
      <c r="F68" s="308"/>
      <c r="G68" s="322"/>
      <c r="H68" s="323"/>
    </row>
    <row r="69" spans="2:8" ht="14.45" x14ac:dyDescent="0.3">
      <c r="B69" s="277">
        <v>8</v>
      </c>
      <c r="C69" s="240" t="str">
        <f>D_T02!B71</f>
        <v>Indoor Air Film</v>
      </c>
      <c r="D69" s="122">
        <f>D_T02!C71</f>
        <v>0.68</v>
      </c>
      <c r="E69" s="327"/>
      <c r="F69" s="308"/>
      <c r="G69" s="322"/>
      <c r="H69" s="323"/>
    </row>
    <row r="70" spans="2:8" ht="17.25" customHeight="1" x14ac:dyDescent="0.3">
      <c r="B70" s="264"/>
      <c r="C70" s="321" t="s">
        <v>161</v>
      </c>
      <c r="D70" s="300">
        <f>SUM(D62:D69)</f>
        <v>9.6965689904981485</v>
      </c>
      <c r="E70" s="323"/>
      <c r="F70" s="308" t="s">
        <v>118</v>
      </c>
      <c r="G70" s="322"/>
      <c r="H70" s="323"/>
    </row>
    <row r="71" spans="2:8" ht="20.25" customHeight="1" x14ac:dyDescent="0.3">
      <c r="B71" s="277"/>
      <c r="C71" s="325" t="s">
        <v>160</v>
      </c>
      <c r="D71" s="123">
        <f>1/D70</f>
        <v>0.10312926159551063</v>
      </c>
      <c r="E71" s="327"/>
      <c r="F71" s="324"/>
      <c r="G71" s="326"/>
      <c r="H71" s="327"/>
    </row>
    <row r="72" spans="2:8" ht="18" customHeight="1" x14ac:dyDescent="0.3">
      <c r="F72" s="322"/>
      <c r="G72" s="322"/>
      <c r="H72" s="322"/>
    </row>
    <row r="73" spans="2:8" ht="18" customHeight="1" x14ac:dyDescent="0.3">
      <c r="F73" s="322"/>
      <c r="G73" s="322"/>
      <c r="H73" s="322"/>
    </row>
    <row r="74" spans="2:8" ht="35.25" customHeight="1" x14ac:dyDescent="0.3">
      <c r="B74" s="307" t="s">
        <v>36</v>
      </c>
      <c r="C74" s="259" t="s">
        <v>239</v>
      </c>
      <c r="F74" s="322"/>
      <c r="G74" s="322"/>
      <c r="H74" s="322"/>
    </row>
    <row r="75" spans="2:8" ht="33" customHeight="1" x14ac:dyDescent="0.3">
      <c r="B75" s="279"/>
      <c r="C75" s="271" t="s">
        <v>146</v>
      </c>
      <c r="D75" s="290" t="s">
        <v>147</v>
      </c>
      <c r="E75" s="272" t="s">
        <v>148</v>
      </c>
      <c r="F75" s="279" t="s">
        <v>142</v>
      </c>
      <c r="G75" s="332"/>
      <c r="H75" s="345"/>
    </row>
    <row r="76" spans="2:8" ht="14.45" x14ac:dyDescent="0.3">
      <c r="B76" s="318"/>
      <c r="C76" s="296" t="s">
        <v>150</v>
      </c>
      <c r="D76" s="134">
        <f>1-D_T02!C76</f>
        <v>0.75</v>
      </c>
      <c r="E76" s="124">
        <f>D_T02!C76</f>
        <v>0.25</v>
      </c>
      <c r="G76" s="322"/>
      <c r="H76" s="323"/>
    </row>
    <row r="77" spans="2:8" ht="14.45" x14ac:dyDescent="0.3">
      <c r="B77" s="264">
        <v>1</v>
      </c>
      <c r="C77" s="239" t="str">
        <f>D_T02!B80</f>
        <v>Outside Air Film (7.5 mph wind, Summer)</v>
      </c>
      <c r="D77" s="340">
        <f>D_T02!C80</f>
        <v>0.25</v>
      </c>
      <c r="E77" s="121">
        <f>D_T02!C80</f>
        <v>0.25</v>
      </c>
      <c r="F77" s="308"/>
      <c r="G77" s="322"/>
      <c r="H77" s="323"/>
    </row>
    <row r="78" spans="2:8" ht="14.45" x14ac:dyDescent="0.3">
      <c r="B78" s="264">
        <v>2</v>
      </c>
      <c r="C78" s="239" t="str">
        <f>D_T02!B81</f>
        <v>Stucco (0.8 Inch thick, conductivity=9.7 Btu-in/h-ft2-°F)</v>
      </c>
      <c r="D78" s="119">
        <f>D_T02!C81</f>
        <v>8.2474226804123724E-2</v>
      </c>
      <c r="E78" s="119">
        <f>D_T02!C81</f>
        <v>8.2474226804123724E-2</v>
      </c>
      <c r="F78" s="308"/>
      <c r="G78" s="322"/>
      <c r="H78" s="323"/>
    </row>
    <row r="79" spans="2:8" ht="14.45" x14ac:dyDescent="0.3">
      <c r="B79" s="264">
        <v>3</v>
      </c>
      <c r="C79" s="239" t="str">
        <f>D_T02!B82</f>
        <v>0.5 Inch Plywood Exterior</v>
      </c>
      <c r="D79" s="137">
        <f>D_T02!C82</f>
        <v>0.79</v>
      </c>
      <c r="E79" s="300">
        <f>D_T02!C82</f>
        <v>0.79</v>
      </c>
      <c r="F79" s="308"/>
      <c r="G79" s="322"/>
      <c r="H79" s="323"/>
    </row>
    <row r="80" spans="2:8" ht="14.45" x14ac:dyDescent="0.3">
      <c r="B80" s="264">
        <v>4</v>
      </c>
      <c r="C80" s="239" t="str">
        <f>D_T02!B83</f>
        <v>Wood Stud 2 x 4: Nominal</v>
      </c>
      <c r="D80" s="137">
        <v>0</v>
      </c>
      <c r="E80" s="300">
        <f>D_T02!C83</f>
        <v>4.38</v>
      </c>
      <c r="F80" s="308"/>
      <c r="G80" s="322"/>
      <c r="H80" s="323"/>
    </row>
    <row r="81" spans="2:8" ht="14.45" x14ac:dyDescent="0.3">
      <c r="B81" s="264">
        <v>5</v>
      </c>
      <c r="C81" s="239" t="str">
        <f>D_T02!B84</f>
        <v>Fiber Glass Batt Insulation R13</v>
      </c>
      <c r="D81" s="137">
        <f>D_T02!C84</f>
        <v>13</v>
      </c>
      <c r="E81" s="120">
        <v>0</v>
      </c>
      <c r="F81" s="308"/>
      <c r="G81" s="322"/>
      <c r="H81" s="323"/>
    </row>
    <row r="82" spans="2:8" ht="14.45" x14ac:dyDescent="0.3">
      <c r="B82" s="264">
        <v>6</v>
      </c>
      <c r="C82" s="239" t="str">
        <f>D_T02!B85</f>
        <v xml:space="preserve">0.5 Inch Drywall </v>
      </c>
      <c r="D82" s="340">
        <f>D_T02!C85</f>
        <v>0.45</v>
      </c>
      <c r="E82" s="121">
        <f>D_T02!C85</f>
        <v>0.45</v>
      </c>
      <c r="F82" s="308"/>
      <c r="G82" s="322"/>
      <c r="H82" s="323"/>
    </row>
    <row r="83" spans="2:8" ht="14.45" x14ac:dyDescent="0.3">
      <c r="B83" s="264">
        <v>7</v>
      </c>
      <c r="C83" s="239" t="str">
        <f>D_T02!B86</f>
        <v>Indoor Air Film</v>
      </c>
      <c r="D83" s="340">
        <f>D_T02!C86</f>
        <v>0.68</v>
      </c>
      <c r="E83" s="121">
        <f>D_T02!C86</f>
        <v>0.68</v>
      </c>
      <c r="F83" s="308"/>
      <c r="G83" s="322"/>
      <c r="H83" s="323"/>
    </row>
    <row r="84" spans="2:8" ht="14.45" x14ac:dyDescent="0.3">
      <c r="B84" s="264"/>
      <c r="C84" s="321" t="s">
        <v>169</v>
      </c>
      <c r="D84" s="137">
        <f>SUM(D77:D83)</f>
        <v>15.252474226804123</v>
      </c>
      <c r="E84" s="300">
        <f>SUM(E77:E83)</f>
        <v>6.6324742268041232</v>
      </c>
      <c r="F84" s="308"/>
      <c r="G84" s="322"/>
      <c r="H84" s="323"/>
    </row>
    <row r="85" spans="2:8" ht="14.45" x14ac:dyDescent="0.3">
      <c r="B85" s="324"/>
      <c r="C85" s="325" t="s">
        <v>170</v>
      </c>
      <c r="D85" s="341">
        <f>1/D84</f>
        <v>6.5563133241860375E-2</v>
      </c>
      <c r="E85" s="119">
        <f>1/E84</f>
        <v>0.15077329602860032</v>
      </c>
      <c r="F85" s="308"/>
      <c r="G85" s="322"/>
      <c r="H85" s="323"/>
    </row>
    <row r="86" spans="2:8" ht="16.5" customHeight="1" x14ac:dyDescent="0.3">
      <c r="B86" s="308"/>
      <c r="C86" s="308" t="s">
        <v>160</v>
      </c>
      <c r="D86" s="342">
        <f>D85*D76+E85*E76</f>
        <v>8.6865673938545357E-2</v>
      </c>
      <c r="E86" s="336"/>
      <c r="F86" s="308" t="s">
        <v>83</v>
      </c>
      <c r="G86" s="322"/>
      <c r="H86" s="323"/>
    </row>
    <row r="87" spans="2:8" ht="16.5" customHeight="1" x14ac:dyDescent="0.3">
      <c r="B87" s="279"/>
      <c r="C87" s="279" t="s">
        <v>161</v>
      </c>
      <c r="D87" s="139">
        <f>1/D86</f>
        <v>11.512027187027496</v>
      </c>
      <c r="E87" s="336"/>
      <c r="F87" s="277"/>
      <c r="G87" s="326"/>
      <c r="H87" s="327"/>
    </row>
    <row r="90" spans="2:8" ht="19.5" customHeight="1" x14ac:dyDescent="0.3"/>
    <row r="106" ht="20.25" customHeight="1" x14ac:dyDescent="0.3"/>
  </sheetData>
  <sheetProtection password="BDDF" sheet="1" objects="1" scenarios="1"/>
  <mergeCells count="1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5 F70 F86">
      <formula1>UCalcMethod</formula1>
    </dataValidation>
  </dataValidations>
  <pageMargins left="0.7" right="0.7" top="0.75" bottom="0.75" header="0.3" footer="0.3"/>
  <pageSetup scale="34" fitToHeight="0"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18"/>
  <sheetViews>
    <sheetView zoomScale="145" zoomScaleNormal="145" workbookViewId="0">
      <selection activeCell="E26" sqref="E26"/>
    </sheetView>
  </sheetViews>
  <sheetFormatPr defaultColWidth="9.140625" defaultRowHeight="12.75" x14ac:dyDescent="0.2"/>
  <cols>
    <col min="1" max="1" width="6.140625" style="162" customWidth="1"/>
    <col min="2" max="2" width="51" style="162" customWidth="1"/>
    <col min="3" max="3" width="25" style="162" customWidth="1"/>
    <col min="4" max="4" width="35.85546875" style="162" customWidth="1"/>
    <col min="5" max="5" width="13.7109375" style="162" customWidth="1"/>
    <col min="6" max="6" width="14.7109375" style="162" customWidth="1"/>
    <col min="7" max="7" width="11.85546875" style="162" customWidth="1"/>
    <col min="8" max="16384" width="9.140625" style="162"/>
  </cols>
  <sheetData>
    <row r="2" spans="1:7" x14ac:dyDescent="0.2">
      <c r="B2" s="163" t="s">
        <v>416</v>
      </c>
    </row>
    <row r="3" spans="1:7" ht="13.15" x14ac:dyDescent="0.25">
      <c r="B3" s="163" t="s">
        <v>282</v>
      </c>
      <c r="C3" s="163"/>
    </row>
    <row r="4" spans="1:7" ht="13.9" x14ac:dyDescent="0.25">
      <c r="B4" s="438" t="s">
        <v>91</v>
      </c>
      <c r="D4" s="163" t="s">
        <v>410</v>
      </c>
    </row>
    <row r="5" spans="1:7" ht="15" customHeight="1" x14ac:dyDescent="0.25">
      <c r="B5" s="163"/>
    </row>
    <row r="6" spans="1:7" ht="47.25" customHeight="1" thickBot="1" x14ac:dyDescent="0.3">
      <c r="B6" s="436" t="s">
        <v>191</v>
      </c>
      <c r="C6" s="437" t="s">
        <v>192</v>
      </c>
      <c r="D6" s="437" t="s">
        <v>403</v>
      </c>
      <c r="E6" s="422" t="s">
        <v>209</v>
      </c>
      <c r="F6" s="423" t="s">
        <v>210</v>
      </c>
      <c r="G6" s="423" t="s">
        <v>218</v>
      </c>
    </row>
    <row r="7" spans="1:7" ht="14.25" customHeight="1" thickTop="1" x14ac:dyDescent="0.25">
      <c r="B7" s="417" t="s">
        <v>194</v>
      </c>
      <c r="C7" s="417" t="s">
        <v>245</v>
      </c>
      <c r="D7" s="417" t="s">
        <v>195</v>
      </c>
      <c r="E7" s="419"/>
      <c r="F7" s="419"/>
      <c r="G7" s="419">
        <v>2000</v>
      </c>
    </row>
    <row r="8" spans="1:7" ht="14.25" customHeight="1" x14ac:dyDescent="0.25">
      <c r="A8" s="166"/>
      <c r="B8" s="159" t="s">
        <v>0</v>
      </c>
      <c r="C8" s="159" t="s">
        <v>196</v>
      </c>
      <c r="D8" s="159" t="s">
        <v>197</v>
      </c>
      <c r="E8" s="272"/>
      <c r="F8" s="272"/>
      <c r="G8" s="272"/>
    </row>
    <row r="9" spans="1:7" ht="14.25" customHeight="1" x14ac:dyDescent="0.2">
      <c r="A9" s="166"/>
      <c r="B9" s="159" t="s">
        <v>1</v>
      </c>
      <c r="C9" s="159" t="s">
        <v>246</v>
      </c>
      <c r="D9" s="159" t="s">
        <v>297</v>
      </c>
      <c r="E9" s="272"/>
      <c r="F9" s="272">
        <v>0.75</v>
      </c>
      <c r="G9" s="272"/>
    </row>
    <row r="10" spans="1:7" ht="14.25" customHeight="1" x14ac:dyDescent="0.2">
      <c r="A10" s="166"/>
      <c r="B10" s="159" t="s">
        <v>247</v>
      </c>
      <c r="C10" s="159" t="s">
        <v>245</v>
      </c>
      <c r="D10" s="159" t="s">
        <v>260</v>
      </c>
      <c r="E10" s="220">
        <v>38</v>
      </c>
      <c r="F10" s="272"/>
      <c r="G10" s="220">
        <v>2000</v>
      </c>
    </row>
    <row r="11" spans="1:7" ht="14.25" customHeight="1" x14ac:dyDescent="0.25">
      <c r="A11" s="166"/>
      <c r="B11" s="159" t="s">
        <v>2</v>
      </c>
      <c r="C11" s="159" t="s">
        <v>248</v>
      </c>
      <c r="D11" s="159" t="s">
        <v>299</v>
      </c>
      <c r="E11" s="272">
        <v>0.65</v>
      </c>
      <c r="F11" s="272">
        <v>0.25</v>
      </c>
      <c r="G11" s="272">
        <v>10</v>
      </c>
    </row>
    <row r="12" spans="1:7" ht="14.25" customHeight="1" x14ac:dyDescent="0.2">
      <c r="A12" s="166"/>
      <c r="B12" s="159" t="s">
        <v>280</v>
      </c>
      <c r="C12" s="159" t="s">
        <v>198</v>
      </c>
      <c r="D12" s="159" t="s">
        <v>271</v>
      </c>
      <c r="E12" s="427">
        <v>6</v>
      </c>
      <c r="F12" s="155"/>
      <c r="G12" s="156">
        <f>50*10</f>
        <v>500</v>
      </c>
    </row>
    <row r="13" spans="1:7" ht="14.25" customHeight="1" x14ac:dyDescent="0.25">
      <c r="A13" s="166"/>
      <c r="B13" s="153" t="s">
        <v>384</v>
      </c>
      <c r="C13" s="153" t="s">
        <v>396</v>
      </c>
      <c r="D13" s="153" t="s">
        <v>77</v>
      </c>
      <c r="E13" s="410">
        <v>0.8</v>
      </c>
      <c r="F13" s="409">
        <v>0</v>
      </c>
      <c r="G13" s="158">
        <v>24</v>
      </c>
    </row>
    <row r="14" spans="1:7" ht="14.25" customHeight="1" x14ac:dyDescent="0.2">
      <c r="A14" s="166"/>
      <c r="B14" s="153" t="s">
        <v>385</v>
      </c>
      <c r="C14" s="153" t="s">
        <v>397</v>
      </c>
      <c r="D14" s="153" t="s">
        <v>299</v>
      </c>
      <c r="E14" s="410">
        <v>0.68</v>
      </c>
      <c r="F14" s="410">
        <v>0.46</v>
      </c>
      <c r="G14" s="158">
        <v>75</v>
      </c>
    </row>
    <row r="15" spans="1:7" ht="14.25" customHeight="1" x14ac:dyDescent="0.2">
      <c r="A15" s="166"/>
      <c r="B15" s="159" t="s">
        <v>5</v>
      </c>
      <c r="C15" s="159" t="s">
        <v>199</v>
      </c>
      <c r="D15" s="159" t="s">
        <v>271</v>
      </c>
      <c r="E15" s="157">
        <f>E12</f>
        <v>6</v>
      </c>
      <c r="F15" s="155"/>
      <c r="G15" s="157">
        <f>40*10</f>
        <v>400</v>
      </c>
    </row>
    <row r="16" spans="1:7" ht="14.25" customHeight="1" x14ac:dyDescent="0.2">
      <c r="A16" s="166"/>
      <c r="B16" s="153" t="s">
        <v>6</v>
      </c>
      <c r="C16" s="153" t="s">
        <v>397</v>
      </c>
      <c r="D16" s="153" t="s">
        <v>299</v>
      </c>
      <c r="E16" s="410">
        <v>0.27</v>
      </c>
      <c r="F16" s="410">
        <v>0.17</v>
      </c>
      <c r="G16" s="158">
        <v>75</v>
      </c>
    </row>
    <row r="17" spans="1:7" ht="14.25" customHeight="1" x14ac:dyDescent="0.2">
      <c r="A17" s="166"/>
      <c r="B17" s="159" t="s">
        <v>7</v>
      </c>
      <c r="C17" s="159" t="s">
        <v>199</v>
      </c>
      <c r="D17" s="159" t="s">
        <v>292</v>
      </c>
      <c r="E17" s="157">
        <f>E12</f>
        <v>6</v>
      </c>
      <c r="F17" s="155"/>
      <c r="G17" s="157">
        <f>40*10</f>
        <v>400</v>
      </c>
    </row>
    <row r="18" spans="1:7" ht="14.25" customHeight="1" x14ac:dyDescent="0.2">
      <c r="A18" s="166"/>
      <c r="B18" s="153" t="s">
        <v>98</v>
      </c>
      <c r="C18" s="153" t="s">
        <v>398</v>
      </c>
      <c r="D18" s="153" t="s">
        <v>299</v>
      </c>
      <c r="E18" s="435">
        <v>1.2</v>
      </c>
      <c r="F18" s="435">
        <v>0.8</v>
      </c>
      <c r="G18" s="272">
        <v>15</v>
      </c>
    </row>
    <row r="19" spans="1:7" ht="14.25" customHeight="1" x14ac:dyDescent="0.2">
      <c r="A19" s="166"/>
      <c r="B19" s="159" t="s">
        <v>399</v>
      </c>
      <c r="C19" s="159" t="s">
        <v>200</v>
      </c>
      <c r="D19" s="159" t="s">
        <v>296</v>
      </c>
      <c r="E19" s="220">
        <v>13</v>
      </c>
      <c r="F19" s="272"/>
      <c r="G19" s="272">
        <f>10*10</f>
        <v>100</v>
      </c>
    </row>
    <row r="20" spans="1:7" ht="14.25" customHeight="1" x14ac:dyDescent="0.2">
      <c r="A20" s="166"/>
      <c r="B20" s="153" t="s">
        <v>9</v>
      </c>
      <c r="C20" s="153" t="s">
        <v>400</v>
      </c>
      <c r="D20" s="153" t="s">
        <v>299</v>
      </c>
      <c r="E20" s="406">
        <f>E16</f>
        <v>0.27</v>
      </c>
      <c r="F20" s="406">
        <f>F16</f>
        <v>0.17</v>
      </c>
      <c r="G20" s="272">
        <v>60</v>
      </c>
    </row>
    <row r="21" spans="1:7" ht="14.25" customHeight="1" x14ac:dyDescent="0.2">
      <c r="A21" s="166"/>
      <c r="B21" s="159" t="s">
        <v>10</v>
      </c>
      <c r="C21" s="159" t="s">
        <v>199</v>
      </c>
      <c r="D21" s="159" t="s">
        <v>292</v>
      </c>
      <c r="E21" s="157">
        <f>E12</f>
        <v>6</v>
      </c>
      <c r="F21" s="155"/>
      <c r="G21" s="157">
        <f>40*10</f>
        <v>400</v>
      </c>
    </row>
    <row r="22" spans="1:7" ht="14.25" customHeight="1" x14ac:dyDescent="0.2">
      <c r="A22" s="166"/>
      <c r="B22" s="153" t="s">
        <v>11</v>
      </c>
      <c r="C22" s="153" t="s">
        <v>397</v>
      </c>
      <c r="D22" s="153" t="s">
        <v>299</v>
      </c>
      <c r="E22" s="406">
        <f>E16</f>
        <v>0.27</v>
      </c>
      <c r="F22" s="406">
        <f>F16</f>
        <v>0.17</v>
      </c>
      <c r="G22" s="272">
        <v>75</v>
      </c>
    </row>
    <row r="23" spans="1:7" ht="14.25" customHeight="1" x14ac:dyDescent="0.25">
      <c r="A23" s="166"/>
      <c r="B23" s="159" t="s">
        <v>12</v>
      </c>
      <c r="C23" s="159" t="s">
        <v>288</v>
      </c>
      <c r="D23" s="159" t="s">
        <v>293</v>
      </c>
      <c r="E23" s="220">
        <v>5</v>
      </c>
      <c r="F23" s="272"/>
      <c r="G23" s="272"/>
    </row>
    <row r="24" spans="1:7" ht="14.25" customHeight="1" x14ac:dyDescent="0.2">
      <c r="A24" s="166"/>
      <c r="B24" s="159" t="s">
        <v>13</v>
      </c>
      <c r="C24" s="159" t="s">
        <v>201</v>
      </c>
      <c r="D24" s="159" t="s">
        <v>294</v>
      </c>
      <c r="E24" s="272">
        <v>8.1999999999999993</v>
      </c>
      <c r="F24" s="272"/>
      <c r="G24" s="272"/>
    </row>
    <row r="25" spans="1:7" ht="14.25" customHeight="1" x14ac:dyDescent="0.2">
      <c r="A25" s="166"/>
      <c r="B25" s="159" t="s">
        <v>14</v>
      </c>
      <c r="C25" s="159" t="s">
        <v>201</v>
      </c>
      <c r="D25" s="159" t="s">
        <v>295</v>
      </c>
      <c r="E25" s="220">
        <v>14</v>
      </c>
      <c r="F25" s="272"/>
      <c r="G25" s="272"/>
    </row>
    <row r="26" spans="1:7" ht="14.25" customHeight="1" x14ac:dyDescent="0.2">
      <c r="A26" s="166"/>
      <c r="B26" s="159" t="s">
        <v>15</v>
      </c>
      <c r="C26" s="159" t="s">
        <v>202</v>
      </c>
      <c r="D26" s="159" t="s">
        <v>418</v>
      </c>
      <c r="E26" s="427">
        <v>8</v>
      </c>
      <c r="F26" s="155"/>
      <c r="G26" s="155"/>
    </row>
    <row r="27" spans="1:7" ht="14.25" customHeight="1" x14ac:dyDescent="0.2">
      <c r="A27" s="166"/>
      <c r="B27" s="159" t="s">
        <v>283</v>
      </c>
      <c r="C27" s="159" t="s">
        <v>203</v>
      </c>
      <c r="D27" s="159" t="s">
        <v>418</v>
      </c>
      <c r="E27" s="220">
        <v>6</v>
      </c>
      <c r="F27" s="272"/>
      <c r="G27" s="272"/>
    </row>
    <row r="28" spans="1:7" ht="15.75" customHeight="1" x14ac:dyDescent="0.25">
      <c r="A28" s="166"/>
      <c r="B28" s="159" t="s">
        <v>17</v>
      </c>
      <c r="C28" s="159"/>
      <c r="D28" s="159" t="s">
        <v>289</v>
      </c>
      <c r="E28" s="272">
        <v>0.04</v>
      </c>
      <c r="F28" s="272"/>
      <c r="G28" s="272"/>
    </row>
    <row r="29" spans="1:7" ht="14.25" customHeight="1" x14ac:dyDescent="0.2">
      <c r="A29" s="166"/>
      <c r="B29" s="159" t="s">
        <v>284</v>
      </c>
      <c r="C29" s="159" t="s">
        <v>201</v>
      </c>
      <c r="D29" s="159" t="s">
        <v>301</v>
      </c>
      <c r="E29" s="256">
        <v>0.02</v>
      </c>
      <c r="F29" s="272"/>
      <c r="G29" s="272"/>
    </row>
    <row r="30" spans="1:7" ht="14.25" customHeight="1" x14ac:dyDescent="0.25">
      <c r="A30" s="166"/>
      <c r="B30" s="159" t="s">
        <v>19</v>
      </c>
      <c r="C30" s="159" t="s">
        <v>204</v>
      </c>
      <c r="D30" s="159" t="s">
        <v>205</v>
      </c>
      <c r="E30" s="272" t="s">
        <v>205</v>
      </c>
      <c r="F30" s="272"/>
      <c r="G30" s="272"/>
    </row>
    <row r="31" spans="1:7" ht="14.25" customHeight="1" x14ac:dyDescent="0.25">
      <c r="A31" s="166"/>
      <c r="B31" s="159" t="s">
        <v>20</v>
      </c>
      <c r="C31" s="159" t="s">
        <v>206</v>
      </c>
      <c r="D31" s="159" t="s">
        <v>290</v>
      </c>
      <c r="E31" s="272">
        <v>0.95</v>
      </c>
      <c r="F31" s="272"/>
      <c r="G31" s="272"/>
    </row>
    <row r="32" spans="1:7" ht="14.25" customHeight="1" x14ac:dyDescent="0.25">
      <c r="A32" s="166"/>
      <c r="B32" s="159" t="s">
        <v>21</v>
      </c>
      <c r="C32" s="159" t="s">
        <v>207</v>
      </c>
      <c r="D32" s="159" t="s">
        <v>291</v>
      </c>
      <c r="E32" s="272">
        <v>3</v>
      </c>
      <c r="F32" s="272"/>
      <c r="G32" s="272"/>
    </row>
    <row r="33" spans="1:7" ht="14.25" customHeight="1" x14ac:dyDescent="0.25">
      <c r="A33" s="166"/>
      <c r="B33" s="159" t="s">
        <v>22</v>
      </c>
      <c r="C33" s="159" t="s">
        <v>195</v>
      </c>
      <c r="D33" s="159" t="s">
        <v>195</v>
      </c>
      <c r="E33" s="272" t="s">
        <v>205</v>
      </c>
      <c r="F33" s="272"/>
      <c r="G33" s="272"/>
    </row>
    <row r="34" spans="1:7" ht="14.25" customHeight="1" x14ac:dyDescent="0.25">
      <c r="A34" s="166"/>
      <c r="B34" s="159" t="s">
        <v>23</v>
      </c>
      <c r="C34" s="159" t="s">
        <v>208</v>
      </c>
      <c r="D34" s="159" t="s">
        <v>298</v>
      </c>
      <c r="E34" s="428">
        <f>75/100</f>
        <v>0.75</v>
      </c>
      <c r="F34" s="272"/>
      <c r="G34" s="272"/>
    </row>
    <row r="35" spans="1:7" ht="14.25" customHeight="1" thickBot="1" x14ac:dyDescent="0.3">
      <c r="A35" s="166"/>
      <c r="B35" s="416" t="s">
        <v>24</v>
      </c>
      <c r="C35" s="416" t="s">
        <v>195</v>
      </c>
      <c r="D35" s="416" t="s">
        <v>195</v>
      </c>
      <c r="E35" s="434" t="s">
        <v>205</v>
      </c>
      <c r="F35" s="434"/>
      <c r="G35" s="434"/>
    </row>
    <row r="36" spans="1:7" ht="14.25" customHeight="1" thickTop="1" x14ac:dyDescent="0.25">
      <c r="A36" s="166"/>
      <c r="B36" s="161"/>
      <c r="C36" s="161"/>
      <c r="D36" s="161"/>
      <c r="E36" s="129"/>
      <c r="F36" s="129"/>
      <c r="G36" s="129"/>
    </row>
    <row r="37" spans="1:7" ht="14.25" customHeight="1" thickBot="1" x14ac:dyDescent="0.3">
      <c r="A37" s="166"/>
      <c r="B37" s="445" t="s">
        <v>404</v>
      </c>
      <c r="C37" s="442"/>
      <c r="D37" s="442"/>
      <c r="E37" s="443"/>
      <c r="F37" s="443"/>
      <c r="G37" s="444"/>
    </row>
    <row r="38" spans="1:7" ht="13.5" customHeight="1" thickTop="1" x14ac:dyDescent="0.25">
      <c r="B38" s="417" t="s">
        <v>114</v>
      </c>
      <c r="C38" s="432"/>
      <c r="D38" s="432"/>
      <c r="E38" s="432"/>
      <c r="F38" s="432"/>
      <c r="G38" s="432"/>
    </row>
    <row r="39" spans="1:7" ht="13.5" customHeight="1" x14ac:dyDescent="0.25">
      <c r="B39" s="159" t="s">
        <v>115</v>
      </c>
      <c r="C39" s="430"/>
      <c r="D39" s="430"/>
      <c r="E39" s="430"/>
      <c r="F39" s="430"/>
      <c r="G39" s="430"/>
    </row>
    <row r="40" spans="1:7" ht="13.5" customHeight="1" x14ac:dyDescent="0.25">
      <c r="B40" s="159" t="s">
        <v>71</v>
      </c>
      <c r="C40" s="430"/>
      <c r="D40" s="430"/>
      <c r="E40" s="430"/>
      <c r="F40" s="430"/>
      <c r="G40" s="430"/>
    </row>
    <row r="41" spans="1:7" ht="13.5" customHeight="1" x14ac:dyDescent="0.25">
      <c r="B41" s="159" t="s">
        <v>116</v>
      </c>
      <c r="C41" s="430"/>
      <c r="D41" s="430"/>
      <c r="E41" s="430"/>
      <c r="F41" s="430"/>
      <c r="G41" s="430"/>
    </row>
    <row r="42" spans="1:7" ht="13.5" customHeight="1" x14ac:dyDescent="0.25">
      <c r="B42" s="159" t="s">
        <v>117</v>
      </c>
      <c r="C42" s="430"/>
      <c r="D42" s="430"/>
      <c r="E42" s="430"/>
      <c r="F42" s="430"/>
      <c r="G42" s="430"/>
    </row>
    <row r="43" spans="1:7" ht="13.5" customHeight="1" x14ac:dyDescent="0.25">
      <c r="B43" s="159" t="s">
        <v>78</v>
      </c>
      <c r="C43" s="430"/>
      <c r="D43" s="430"/>
      <c r="E43" s="430"/>
      <c r="F43" s="430"/>
      <c r="G43" s="430"/>
    </row>
    <row r="44" spans="1:7" ht="13.5" customHeight="1" x14ac:dyDescent="0.25">
      <c r="B44" s="159" t="s">
        <v>72</v>
      </c>
      <c r="C44" s="430"/>
      <c r="D44" s="430"/>
      <c r="E44" s="430"/>
      <c r="F44" s="430"/>
      <c r="G44" s="430"/>
    </row>
    <row r="45" spans="1:7" ht="13.5" customHeight="1" thickBot="1" x14ac:dyDescent="0.3">
      <c r="B45" s="416" t="s">
        <v>92</v>
      </c>
      <c r="C45" s="431"/>
      <c r="D45" s="431"/>
      <c r="E45" s="431"/>
      <c r="F45" s="431"/>
      <c r="G45" s="431"/>
    </row>
    <row r="46" spans="1:7" ht="13.5" customHeight="1" thickTop="1" x14ac:dyDescent="0.25"/>
    <row r="47" spans="1:7" ht="13.5" customHeight="1" x14ac:dyDescent="0.25"/>
    <row r="48" spans="1:7" ht="19.5" customHeight="1" x14ac:dyDescent="0.2">
      <c r="B48" s="483" t="s">
        <v>386</v>
      </c>
      <c r="C48" s="483"/>
      <c r="D48" s="483"/>
    </row>
    <row r="49" spans="1:6" ht="21" customHeight="1" x14ac:dyDescent="0.25">
      <c r="B49" s="133" t="s">
        <v>219</v>
      </c>
      <c r="F49" s="439"/>
    </row>
    <row r="50" spans="1:6" ht="14.25" customHeight="1" x14ac:dyDescent="0.25">
      <c r="B50" s="271" t="s">
        <v>217</v>
      </c>
      <c r="C50" s="167">
        <v>7.0000000000000007E-2</v>
      </c>
      <c r="D50" s="168" t="s">
        <v>257</v>
      </c>
    </row>
    <row r="51" spans="1:6" ht="15" customHeight="1" x14ac:dyDescent="0.25"/>
    <row r="52" spans="1:6" ht="15" customHeight="1" x14ac:dyDescent="0.25">
      <c r="B52" s="271" t="s">
        <v>211</v>
      </c>
      <c r="C52" s="272" t="s">
        <v>212</v>
      </c>
      <c r="D52" s="167" t="s">
        <v>149</v>
      </c>
    </row>
    <row r="53" spans="1:6" ht="14.25" customHeight="1" x14ac:dyDescent="0.25">
      <c r="B53" s="131" t="s">
        <v>151</v>
      </c>
      <c r="C53" s="169">
        <v>0.61</v>
      </c>
      <c r="D53" s="170" t="s">
        <v>152</v>
      </c>
    </row>
    <row r="54" spans="1:6" ht="14.25" customHeight="1" x14ac:dyDescent="0.25">
      <c r="B54" s="131" t="str">
        <f>"Batt Insulation R"&amp;C54</f>
        <v>Batt Insulation R38</v>
      </c>
      <c r="C54" s="222">
        <f>E10</f>
        <v>38</v>
      </c>
      <c r="D54" s="131"/>
    </row>
    <row r="55" spans="1:6" ht="14.25" customHeight="1" x14ac:dyDescent="0.25">
      <c r="B55" s="131" t="s">
        <v>153</v>
      </c>
      <c r="C55" s="169">
        <v>4.38</v>
      </c>
      <c r="D55" s="131" t="s">
        <v>154</v>
      </c>
    </row>
    <row r="56" spans="1:6" ht="14.25" customHeight="1" x14ac:dyDescent="0.25">
      <c r="B56" s="131" t="s">
        <v>215</v>
      </c>
      <c r="C56" s="169">
        <v>0.45</v>
      </c>
      <c r="D56" s="131" t="s">
        <v>155</v>
      </c>
    </row>
    <row r="57" spans="1:6" ht="14.25" customHeight="1" x14ac:dyDescent="0.25">
      <c r="B57" s="132" t="s">
        <v>156</v>
      </c>
      <c r="C57" s="171">
        <v>0.92</v>
      </c>
      <c r="D57" s="132" t="s">
        <v>157</v>
      </c>
    </row>
    <row r="60" spans="1:6" ht="13.15" x14ac:dyDescent="0.25">
      <c r="B60" s="162" t="s">
        <v>242</v>
      </c>
    </row>
    <row r="61" spans="1:6" ht="13.15" x14ac:dyDescent="0.25">
      <c r="B61" s="162" t="s">
        <v>383</v>
      </c>
    </row>
    <row r="62" spans="1:6" ht="42.75" customHeight="1" x14ac:dyDescent="0.2">
      <c r="B62" s="483" t="s">
        <v>401</v>
      </c>
      <c r="C62" s="483"/>
      <c r="D62" s="483"/>
      <c r="F62" s="127"/>
    </row>
    <row r="63" spans="1:6" ht="27.75" customHeight="1" x14ac:dyDescent="0.25">
      <c r="A63" s="172"/>
      <c r="B63" s="271" t="s">
        <v>211</v>
      </c>
      <c r="C63" s="272" t="s">
        <v>212</v>
      </c>
      <c r="D63" s="173" t="s">
        <v>149</v>
      </c>
      <c r="E63" s="172"/>
    </row>
    <row r="64" spans="1:6" ht="14.25" customHeight="1" x14ac:dyDescent="0.25">
      <c r="A64" s="169"/>
      <c r="B64" s="130" t="s">
        <v>162</v>
      </c>
      <c r="C64" s="173">
        <v>0.25</v>
      </c>
      <c r="D64" s="174" t="s">
        <v>157</v>
      </c>
      <c r="E64" s="172"/>
    </row>
    <row r="65" spans="1:6" ht="14.25" customHeight="1" x14ac:dyDescent="0.2">
      <c r="A65" s="169"/>
      <c r="B65" s="131" t="s">
        <v>221</v>
      </c>
      <c r="C65" s="175">
        <f>0.8/9.7</f>
        <v>8.2474226804123724E-2</v>
      </c>
      <c r="D65" s="131" t="s">
        <v>163</v>
      </c>
      <c r="E65" s="172"/>
      <c r="F65" s="172"/>
    </row>
    <row r="66" spans="1:6" ht="14.25" customHeight="1" x14ac:dyDescent="0.25">
      <c r="A66" s="169"/>
      <c r="B66" s="131" t="s">
        <v>276</v>
      </c>
      <c r="C66" s="176">
        <v>0</v>
      </c>
      <c r="D66" s="131"/>
      <c r="E66" s="172"/>
      <c r="F66" s="172"/>
    </row>
    <row r="67" spans="1:6" ht="14.25" customHeight="1" x14ac:dyDescent="0.25">
      <c r="A67" s="169"/>
      <c r="B67" s="131" t="s">
        <v>213</v>
      </c>
      <c r="C67" s="177">
        <f>C106</f>
        <v>1.0140947636940258</v>
      </c>
      <c r="D67" s="131" t="s">
        <v>165</v>
      </c>
      <c r="E67" s="172"/>
      <c r="F67" s="172"/>
    </row>
    <row r="68" spans="1:6" ht="14.25" customHeight="1" x14ac:dyDescent="0.25">
      <c r="A68" s="169"/>
      <c r="B68" s="131" t="str">
        <f>"1 Inch"&amp;" R"&amp;C68&amp;" "&amp;"Insulation Board"</f>
        <v>1 Inch R6 Insulation Board</v>
      </c>
      <c r="C68" s="177">
        <f>E12</f>
        <v>6</v>
      </c>
      <c r="D68" s="131"/>
      <c r="E68" s="172"/>
      <c r="F68" s="172"/>
    </row>
    <row r="69" spans="1:6" ht="14.25" customHeight="1" x14ac:dyDescent="0.25">
      <c r="A69" s="169"/>
      <c r="B69" s="131" t="s">
        <v>214</v>
      </c>
      <c r="C69" s="178">
        <v>1.22</v>
      </c>
      <c r="D69" s="131" t="s">
        <v>166</v>
      </c>
      <c r="E69" s="172"/>
      <c r="F69" s="172"/>
    </row>
    <row r="70" spans="1:6" ht="14.25" customHeight="1" x14ac:dyDescent="0.25">
      <c r="A70" s="169"/>
      <c r="B70" s="131" t="s">
        <v>215</v>
      </c>
      <c r="C70" s="178">
        <v>0.45</v>
      </c>
      <c r="D70" s="131" t="s">
        <v>155</v>
      </c>
      <c r="E70" s="172"/>
    </row>
    <row r="71" spans="1:6" ht="14.25" customHeight="1" x14ac:dyDescent="0.25">
      <c r="A71" s="169"/>
      <c r="B71" s="132" t="s">
        <v>167</v>
      </c>
      <c r="C71" s="179">
        <v>0.68</v>
      </c>
      <c r="D71" s="132" t="s">
        <v>157</v>
      </c>
      <c r="E71" s="172"/>
      <c r="F71" s="172"/>
    </row>
    <row r="72" spans="1:6" ht="13.5" customHeight="1" x14ac:dyDescent="0.25"/>
    <row r="73" spans="1:6" ht="13.5" customHeight="1" x14ac:dyDescent="0.25"/>
    <row r="74" spans="1:6" ht="13.5" customHeight="1" x14ac:dyDescent="0.25">
      <c r="A74" s="162" t="s">
        <v>242</v>
      </c>
    </row>
    <row r="75" spans="1:6" ht="36.75" customHeight="1" x14ac:dyDescent="0.2">
      <c r="B75" s="483" t="s">
        <v>402</v>
      </c>
      <c r="C75" s="483"/>
      <c r="D75" s="483"/>
      <c r="E75" s="180"/>
    </row>
    <row r="76" spans="1:6" ht="16.5" customHeight="1" x14ac:dyDescent="0.25">
      <c r="A76" s="180"/>
      <c r="B76" s="271" t="s">
        <v>222</v>
      </c>
      <c r="C76" s="269">
        <f>0.25</f>
        <v>0.25</v>
      </c>
      <c r="D76" s="272"/>
      <c r="E76" s="180"/>
    </row>
    <row r="77" spans="1:6" ht="13.5" customHeight="1" x14ac:dyDescent="0.25">
      <c r="A77" s="172"/>
      <c r="E77" s="129"/>
    </row>
    <row r="78" spans="1:6" ht="16.5" customHeight="1" x14ac:dyDescent="0.25">
      <c r="B78" s="133" t="s">
        <v>220</v>
      </c>
      <c r="E78" s="181"/>
    </row>
    <row r="79" spans="1:6" ht="16.5" customHeight="1" x14ac:dyDescent="0.25">
      <c r="B79" s="271" t="s">
        <v>211</v>
      </c>
      <c r="C79" s="272" t="s">
        <v>212</v>
      </c>
      <c r="D79" s="167" t="s">
        <v>149</v>
      </c>
      <c r="E79" s="181"/>
    </row>
    <row r="80" spans="1:6" ht="15.75" customHeight="1" x14ac:dyDescent="0.25">
      <c r="A80" s="169"/>
      <c r="B80" s="130" t="s">
        <v>162</v>
      </c>
      <c r="C80" s="182">
        <v>0.25</v>
      </c>
      <c r="D80" s="174" t="s">
        <v>157</v>
      </c>
      <c r="E80" s="183"/>
    </row>
    <row r="81" spans="1:7" ht="15.75" customHeight="1" x14ac:dyDescent="0.2">
      <c r="A81" s="169"/>
      <c r="B81" s="131" t="s">
        <v>221</v>
      </c>
      <c r="C81" s="175">
        <f>0.8/9.7</f>
        <v>8.2474226804123724E-2</v>
      </c>
      <c r="D81" s="184" t="s">
        <v>163</v>
      </c>
      <c r="E81" s="183"/>
    </row>
    <row r="82" spans="1:7" ht="15.75" customHeight="1" x14ac:dyDescent="0.25">
      <c r="A82" s="169"/>
      <c r="B82" s="131" t="s">
        <v>277</v>
      </c>
      <c r="C82" s="183">
        <v>0.79</v>
      </c>
      <c r="D82" s="185" t="s">
        <v>155</v>
      </c>
      <c r="E82" s="186"/>
    </row>
    <row r="83" spans="1:7" ht="15.75" customHeight="1" x14ac:dyDescent="0.25">
      <c r="A83" s="169"/>
      <c r="B83" s="131" t="s">
        <v>153</v>
      </c>
      <c r="C83" s="183">
        <v>4.38</v>
      </c>
      <c r="D83" s="185" t="s">
        <v>154</v>
      </c>
      <c r="E83" s="169"/>
    </row>
    <row r="84" spans="1:7" ht="15.75" customHeight="1" x14ac:dyDescent="0.25">
      <c r="A84" s="169"/>
      <c r="B84" s="131" t="str">
        <f>"Fiber Glass Batt Insulation"&amp;" R"&amp;C84</f>
        <v>Fiber Glass Batt Insulation R13</v>
      </c>
      <c r="C84" s="221">
        <f>E19</f>
        <v>13</v>
      </c>
      <c r="D84" s="187"/>
      <c r="E84" s="169"/>
    </row>
    <row r="85" spans="1:7" ht="15.75" customHeight="1" x14ac:dyDescent="0.25">
      <c r="A85" s="169"/>
      <c r="B85" s="131" t="s">
        <v>215</v>
      </c>
      <c r="C85" s="169">
        <v>0.45</v>
      </c>
      <c r="D85" s="170" t="s">
        <v>155</v>
      </c>
    </row>
    <row r="86" spans="1:7" ht="15.75" customHeight="1" x14ac:dyDescent="0.25">
      <c r="A86" s="169"/>
      <c r="B86" s="132" t="s">
        <v>167</v>
      </c>
      <c r="C86" s="171">
        <v>0.68</v>
      </c>
      <c r="D86" s="188" t="s">
        <v>157</v>
      </c>
    </row>
    <row r="87" spans="1:7" ht="14.25" customHeight="1" x14ac:dyDescent="0.25"/>
    <row r="88" spans="1:7" ht="14.25" customHeight="1" x14ac:dyDescent="0.25"/>
    <row r="89" spans="1:7" ht="14.25" customHeight="1" x14ac:dyDescent="0.25"/>
    <row r="90" spans="1:7" ht="14.25" customHeight="1" x14ac:dyDescent="0.25"/>
    <row r="91" spans="1:7" ht="16.5" customHeight="1" x14ac:dyDescent="0.25">
      <c r="A91" s="172"/>
      <c r="B91" s="168" t="s">
        <v>223</v>
      </c>
      <c r="C91" s="189"/>
      <c r="D91" s="130"/>
      <c r="E91" s="172"/>
      <c r="F91" s="172"/>
      <c r="G91" s="172"/>
    </row>
    <row r="92" spans="1:7" ht="16.5" customHeight="1" x14ac:dyDescent="0.25">
      <c r="A92" s="172"/>
      <c r="B92" s="271" t="s">
        <v>258</v>
      </c>
      <c r="C92" s="190" t="s">
        <v>171</v>
      </c>
      <c r="D92" s="167" t="s">
        <v>172</v>
      </c>
      <c r="E92" s="169"/>
      <c r="F92" s="172"/>
      <c r="G92" s="172"/>
    </row>
    <row r="93" spans="1:7" ht="15.75" customHeight="1" x14ac:dyDescent="0.25">
      <c r="A93" s="172"/>
      <c r="B93" s="191" t="s">
        <v>173</v>
      </c>
      <c r="C93" s="192">
        <v>7.625</v>
      </c>
      <c r="D93" s="173" t="s">
        <v>174</v>
      </c>
      <c r="E93" s="172"/>
      <c r="F93" s="172"/>
      <c r="G93" s="172"/>
    </row>
    <row r="94" spans="1:7" ht="15.75" customHeight="1" x14ac:dyDescent="0.25">
      <c r="A94" s="172"/>
      <c r="B94" s="193" t="s">
        <v>175</v>
      </c>
      <c r="C94" s="194">
        <v>7.625</v>
      </c>
      <c r="D94" s="178" t="s">
        <v>174</v>
      </c>
      <c r="E94" s="172"/>
      <c r="F94" s="172"/>
      <c r="G94" s="172"/>
    </row>
    <row r="95" spans="1:7" ht="15.75" customHeight="1" x14ac:dyDescent="0.25">
      <c r="A95" s="172"/>
      <c r="B95" s="193" t="s">
        <v>176</v>
      </c>
      <c r="C95" s="195">
        <v>15.625</v>
      </c>
      <c r="D95" s="178" t="s">
        <v>174</v>
      </c>
      <c r="E95" s="172"/>
      <c r="F95" s="172"/>
      <c r="G95" s="172"/>
    </row>
    <row r="96" spans="1:7" ht="15.75" customHeight="1" x14ac:dyDescent="0.25">
      <c r="A96" s="172"/>
      <c r="B96" s="193" t="s">
        <v>177</v>
      </c>
      <c r="C96" s="196">
        <v>1</v>
      </c>
      <c r="D96" s="178" t="s">
        <v>174</v>
      </c>
      <c r="E96" s="172"/>
      <c r="F96" s="172"/>
      <c r="G96" s="172"/>
    </row>
    <row r="97" spans="1:7" ht="15.75" customHeight="1" x14ac:dyDescent="0.25">
      <c r="A97" s="172"/>
      <c r="B97" s="193" t="s">
        <v>178</v>
      </c>
      <c r="C97" s="195">
        <v>1.25</v>
      </c>
      <c r="D97" s="178" t="s">
        <v>174</v>
      </c>
      <c r="E97" s="172"/>
      <c r="F97" s="172"/>
      <c r="G97" s="172"/>
    </row>
    <row r="98" spans="1:7" ht="15.75" customHeight="1" x14ac:dyDescent="0.2">
      <c r="A98" s="172"/>
      <c r="B98" s="193" t="s">
        <v>179</v>
      </c>
      <c r="C98" s="197">
        <v>0.1</v>
      </c>
      <c r="D98" s="178" t="s">
        <v>188</v>
      </c>
      <c r="E98" s="172"/>
      <c r="F98" s="172"/>
      <c r="G98" s="172"/>
    </row>
    <row r="99" spans="1:7" ht="15.75" customHeight="1" x14ac:dyDescent="0.2">
      <c r="A99" s="172"/>
      <c r="B99" s="193" t="s">
        <v>265</v>
      </c>
      <c r="C99" s="194">
        <v>0.86499999999999999</v>
      </c>
      <c r="D99" s="178" t="s">
        <v>188</v>
      </c>
      <c r="E99" s="172"/>
      <c r="F99" s="172"/>
      <c r="G99" s="172"/>
    </row>
    <row r="100" spans="1:7" ht="13.5" customHeight="1" x14ac:dyDescent="0.25">
      <c r="A100" s="172"/>
      <c r="B100" s="193"/>
      <c r="C100" s="195"/>
      <c r="D100" s="178"/>
      <c r="E100" s="172"/>
      <c r="F100" s="172"/>
      <c r="G100" s="172"/>
    </row>
    <row r="101" spans="1:7" ht="15.75" customHeight="1" x14ac:dyDescent="0.2">
      <c r="A101" s="172"/>
      <c r="B101" s="193" t="s">
        <v>181</v>
      </c>
      <c r="C101" s="198">
        <f>2*C97*C98</f>
        <v>0.25</v>
      </c>
      <c r="D101" s="178" t="s">
        <v>188</v>
      </c>
      <c r="E101" s="172"/>
      <c r="F101" s="172"/>
      <c r="G101" s="172"/>
    </row>
    <row r="102" spans="1:7" ht="15.75" customHeight="1" x14ac:dyDescent="0.2">
      <c r="A102" s="172"/>
      <c r="B102" s="193" t="s">
        <v>182</v>
      </c>
      <c r="C102" s="198">
        <f>(C93-2*C97)*C98</f>
        <v>0.51250000000000007</v>
      </c>
      <c r="D102" s="178" t="s">
        <v>188</v>
      </c>
      <c r="E102" s="172"/>
      <c r="F102" s="172"/>
      <c r="G102" s="172"/>
    </row>
    <row r="103" spans="1:7" ht="15.75" customHeight="1" x14ac:dyDescent="0.2">
      <c r="A103" s="172"/>
      <c r="B103" s="193" t="s">
        <v>266</v>
      </c>
      <c r="C103" s="243">
        <f>C99</f>
        <v>0.86499999999999999</v>
      </c>
      <c r="D103" s="178" t="s">
        <v>188</v>
      </c>
      <c r="E103" s="172"/>
      <c r="F103" s="172"/>
      <c r="G103" s="172"/>
    </row>
    <row r="104" spans="1:7" ht="15.75" customHeight="1" x14ac:dyDescent="0.25">
      <c r="A104" s="172"/>
      <c r="B104" s="193" t="s">
        <v>184</v>
      </c>
      <c r="C104" s="198">
        <f>3*C96/C95</f>
        <v>0.192</v>
      </c>
      <c r="D104" s="178" t="s">
        <v>185</v>
      </c>
      <c r="E104" s="172"/>
      <c r="F104" s="172"/>
      <c r="G104" s="172"/>
    </row>
    <row r="105" spans="1:7" ht="15.75" customHeight="1" x14ac:dyDescent="0.25">
      <c r="A105" s="172"/>
      <c r="B105" s="199" t="s">
        <v>186</v>
      </c>
      <c r="C105" s="200">
        <f>(C95-3*C96)/C95</f>
        <v>0.80800000000000005</v>
      </c>
      <c r="D105" s="178" t="s">
        <v>185</v>
      </c>
      <c r="E105" s="172"/>
      <c r="F105" s="172"/>
      <c r="G105" s="172"/>
    </row>
    <row r="106" spans="1:7" ht="16.5" customHeight="1" x14ac:dyDescent="0.2">
      <c r="A106" s="172"/>
      <c r="B106" s="201" t="s">
        <v>187</v>
      </c>
      <c r="C106" s="449">
        <f>C101+1/(C104/C102+C105/C103)</f>
        <v>1.0140947636940258</v>
      </c>
      <c r="D106" s="167" t="s">
        <v>188</v>
      </c>
      <c r="E106" s="172"/>
      <c r="F106" s="172"/>
      <c r="G106" s="172"/>
    </row>
    <row r="108" spans="1:7" ht="13.15" x14ac:dyDescent="0.25">
      <c r="B108" s="202"/>
    </row>
    <row r="109" spans="1:7" ht="15" customHeight="1" x14ac:dyDescent="0.25">
      <c r="B109" s="202" t="s">
        <v>189</v>
      </c>
    </row>
    <row r="110" spans="1:7" ht="34.5" customHeight="1" x14ac:dyDescent="0.25">
      <c r="B110" s="481" t="s">
        <v>190</v>
      </c>
      <c r="C110" s="481"/>
      <c r="D110" s="481"/>
    </row>
    <row r="114" spans="1:3" ht="13.15" x14ac:dyDescent="0.25">
      <c r="C114" s="202"/>
    </row>
    <row r="115" spans="1:3" ht="13.15" x14ac:dyDescent="0.25">
      <c r="A115" s="166"/>
    </row>
    <row r="116" spans="1:3" ht="13.15" x14ac:dyDescent="0.25">
      <c r="A116" s="166"/>
    </row>
    <row r="117" spans="1:3" ht="13.15" x14ac:dyDescent="0.25">
      <c r="A117" s="166"/>
    </row>
    <row r="118" spans="1:3" ht="13.15" x14ac:dyDescent="0.25">
      <c r="A118" s="166"/>
    </row>
  </sheetData>
  <sheetProtection password="BDDF" sheet="1" objects="1" scenarios="1"/>
  <mergeCells count="4">
    <mergeCell ref="B48:D48"/>
    <mergeCell ref="B62:D62"/>
    <mergeCell ref="B75:D75"/>
    <mergeCell ref="B110:D110"/>
  </mergeCells>
  <pageMargins left="0.7" right="0.7" top="0.75" bottom="0.75" header="0.3" footer="0.3"/>
  <pageSetup scale="55" orientation="portrait" r:id="rId1"/>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2"/>
  <sheetViews>
    <sheetView topLeftCell="B1" zoomScale="90" zoomScaleNormal="90" workbookViewId="0">
      <selection activeCell="F134" sqref="F134"/>
    </sheetView>
  </sheetViews>
  <sheetFormatPr defaultColWidth="9.140625" defaultRowHeight="15" x14ac:dyDescent="0.25"/>
  <cols>
    <col min="1" max="1" width="4.42578125" style="258" customWidth="1"/>
    <col min="2" max="2" width="46.7109375" style="258" customWidth="1"/>
    <col min="3" max="3" width="23.140625" style="258" customWidth="1"/>
    <col min="4" max="4" width="20.28515625" style="258" customWidth="1"/>
    <col min="5" max="5" width="21" style="258" customWidth="1"/>
    <col min="6" max="6" width="20.140625" style="258" customWidth="1"/>
    <col min="7" max="7" width="26.28515625" style="258" customWidth="1"/>
    <col min="8" max="8" width="26.28515625" style="258" hidden="1" customWidth="1"/>
    <col min="9" max="9" width="24.7109375" style="258" customWidth="1"/>
    <col min="10" max="16384" width="9.140625" style="258"/>
  </cols>
  <sheetData>
    <row r="1" spans="1:8" ht="7.5" customHeight="1" x14ac:dyDescent="0.3">
      <c r="A1" s="13"/>
      <c r="B1" s="13"/>
      <c r="C1" s="13"/>
      <c r="D1" s="13"/>
      <c r="E1" s="13"/>
      <c r="F1" s="13"/>
      <c r="G1" s="13"/>
    </row>
    <row r="3" spans="1:8" ht="34.5" customHeight="1" x14ac:dyDescent="0.3">
      <c r="B3" s="260" t="s">
        <v>25</v>
      </c>
      <c r="C3" s="260" t="s">
        <v>27</v>
      </c>
      <c r="D3" s="469" t="str">
        <f>IF(Instructions!D2="","Enter Vendor's Software Name In Instruction Sheet",Instructions!D2)</f>
        <v>Enter Vendor's Software Name In Instruction Sheet</v>
      </c>
      <c r="E3" s="469"/>
    </row>
    <row r="4" spans="1:8" ht="15" customHeight="1" x14ac:dyDescent="0.3">
      <c r="B4" s="328" t="str">
        <f>D_T03!B2</f>
        <v xml:space="preserve">Prescriptive Test: House T03 (Pr-T03) Characteristics – Location: Tampa, Florida. </v>
      </c>
      <c r="C4" s="328"/>
      <c r="D4" s="328"/>
      <c r="E4" s="328"/>
    </row>
    <row r="5" spans="1:8" ht="15" customHeight="1" x14ac:dyDescent="0.3">
      <c r="B5" s="328" t="str">
        <f>D_T03!B3</f>
        <v>Single Family Detached Home with No Attached Garage, Single Story, Three bedroom.</v>
      </c>
      <c r="C5" s="328"/>
      <c r="D5" s="328"/>
      <c r="E5" s="328"/>
    </row>
    <row r="6" spans="1:8" ht="14.45" x14ac:dyDescent="0.3">
      <c r="B6" s="4" t="s">
        <v>28</v>
      </c>
    </row>
    <row r="7" spans="1:8" ht="14.45" x14ac:dyDescent="0.3">
      <c r="B7" s="1" t="s">
        <v>112</v>
      </c>
      <c r="C7" s="1"/>
      <c r="D7" s="8" t="s">
        <v>84</v>
      </c>
      <c r="E7" s="8"/>
    </row>
    <row r="8" spans="1:8" ht="14.45" x14ac:dyDescent="0.3">
      <c r="B8" s="3" t="s">
        <v>113</v>
      </c>
      <c r="C8" s="3"/>
      <c r="D8" s="3"/>
    </row>
    <row r="9" spans="1:8" ht="14.45" x14ac:dyDescent="0.3">
      <c r="B9" s="251" t="str">
        <f>D_T03!B4</f>
        <v>House Pr-T03</v>
      </c>
      <c r="C9" s="10" t="s">
        <v>243</v>
      </c>
      <c r="D9" s="117" t="s">
        <v>75</v>
      </c>
      <c r="E9" s="4"/>
    </row>
    <row r="10" spans="1:8" thickBot="1" x14ac:dyDescent="0.35">
      <c r="C10" s="10" t="s">
        <v>86</v>
      </c>
      <c r="D10" s="10" t="s">
        <v>29</v>
      </c>
      <c r="E10" s="4"/>
    </row>
    <row r="11" spans="1:8" thickBot="1" x14ac:dyDescent="0.35">
      <c r="B11" s="248" t="str">
        <f>D_T03!B8</f>
        <v>Slab-on-grade Floor</v>
      </c>
      <c r="C11" s="104"/>
      <c r="D11" s="106" t="str">
        <f>IF(C11="Complies","Pass","Fail")</f>
        <v>Fail</v>
      </c>
      <c r="E11" s="6"/>
      <c r="H11" s="9">
        <f t="shared" ref="H11:H23" si="0">IF(OR(D11="Not applicable",D11="Software Doesn't Check",D11="Pass"),0,1)</f>
        <v>1</v>
      </c>
    </row>
    <row r="12" spans="1:8" ht="15.75" thickBot="1" x14ac:dyDescent="0.3">
      <c r="B12" s="249" t="str">
        <f>D_T03!B9</f>
        <v>Roof – gable type- 5 in 12 slope No overhangs</v>
      </c>
      <c r="C12" s="104"/>
      <c r="D12" s="106" t="str">
        <f>IF(C12="Complies","Pass","Fail")</f>
        <v>Fail</v>
      </c>
      <c r="E12" s="6"/>
      <c r="H12" s="9">
        <f t="shared" si="0"/>
        <v>1</v>
      </c>
    </row>
    <row r="13" spans="1:8" ht="15.75" thickBot="1" x14ac:dyDescent="0.3">
      <c r="B13" s="249" t="str">
        <f>D_T03!B10</f>
        <v>Ceiling1 –flat under attic</v>
      </c>
      <c r="C13" s="104"/>
      <c r="D13" s="106" t="str">
        <f>IF(C13="R-Value too low","Pass","Fail")</f>
        <v>Fail</v>
      </c>
      <c r="E13" s="6"/>
      <c r="H13" s="9">
        <f t="shared" si="0"/>
        <v>1</v>
      </c>
    </row>
    <row r="14" spans="1:8" thickBot="1" x14ac:dyDescent="0.35">
      <c r="B14" s="249" t="str">
        <f>D_T03!B11</f>
        <v xml:space="preserve">        Skylight</v>
      </c>
      <c r="C14" s="104"/>
      <c r="D14" s="106" t="str">
        <f>IF(C14="Complies","Pass","Fail")</f>
        <v>Fail</v>
      </c>
      <c r="E14" s="6"/>
      <c r="H14" s="9">
        <f t="shared" si="0"/>
        <v>1</v>
      </c>
    </row>
    <row r="15" spans="1:8" ht="15.75" thickBot="1" x14ac:dyDescent="0.3">
      <c r="B15" s="249" t="str">
        <f>D_T03!B12</f>
        <v>Wall 1 –faces North, Wood Frame2</v>
      </c>
      <c r="C15" s="104"/>
      <c r="D15" s="106" t="str">
        <f>IF(C15="Complies","Pass","Fail")</f>
        <v>Fail</v>
      </c>
      <c r="E15" s="6"/>
      <c r="H15" s="9">
        <f t="shared" si="0"/>
        <v>1</v>
      </c>
    </row>
    <row r="16" spans="1:8" thickBot="1" x14ac:dyDescent="0.35">
      <c r="B16" s="249" t="str">
        <f>D_T03!B13</f>
        <v xml:space="preserve">        Door 1 - </v>
      </c>
      <c r="C16" s="107" t="s">
        <v>63</v>
      </c>
      <c r="D16" s="106" t="s">
        <v>63</v>
      </c>
      <c r="E16" s="6"/>
      <c r="H16" s="9">
        <f t="shared" si="0"/>
        <v>0</v>
      </c>
    </row>
    <row r="17" spans="2:8" ht="15.75" thickBot="1" x14ac:dyDescent="0.3">
      <c r="B17" s="249" t="str">
        <f>D_T03!B14</f>
        <v xml:space="preserve">        Window 1 – Vinyl Frame Low-e Double</v>
      </c>
      <c r="C17" s="107" t="s">
        <v>63</v>
      </c>
      <c r="D17" s="106" t="s">
        <v>63</v>
      </c>
      <c r="E17" s="6"/>
      <c r="H17" s="9">
        <f t="shared" si="0"/>
        <v>0</v>
      </c>
    </row>
    <row r="18" spans="2:8" ht="15.75" thickBot="1" x14ac:dyDescent="0.3">
      <c r="B18" s="249" t="str">
        <f>D_T03!B15</f>
        <v>Wall 2 –faces East, Wood Frame</v>
      </c>
      <c r="C18" s="104"/>
      <c r="D18" s="106" t="str">
        <f>IF(C18="Complies","Pass","Fail")</f>
        <v>Fail</v>
      </c>
      <c r="E18" s="6"/>
      <c r="H18" s="9">
        <f t="shared" si="0"/>
        <v>1</v>
      </c>
    </row>
    <row r="19" spans="2:8" ht="15.75" thickBot="1" x14ac:dyDescent="0.3">
      <c r="B19" s="249" t="str">
        <f>D_T03!B16</f>
        <v xml:space="preserve">        Window 2 – Vinyl Frame Low-e Double</v>
      </c>
      <c r="C19" s="107" t="s">
        <v>63</v>
      </c>
      <c r="D19" s="106" t="s">
        <v>63</v>
      </c>
      <c r="E19" s="6"/>
      <c r="H19" s="9">
        <f t="shared" si="0"/>
        <v>0</v>
      </c>
    </row>
    <row r="20" spans="2:8" ht="15.75" thickBot="1" x14ac:dyDescent="0.3">
      <c r="B20" s="249" t="str">
        <f>D_T03!B17</f>
        <v>Wall 3 –faces South, Wood Frame</v>
      </c>
      <c r="C20" s="104"/>
      <c r="D20" s="106" t="str">
        <f>IF(C20="Complies","Pass","Fail")</f>
        <v>Fail</v>
      </c>
      <c r="E20" s="6"/>
      <c r="H20" s="9">
        <f t="shared" si="0"/>
        <v>1</v>
      </c>
    </row>
    <row r="21" spans="2:8" ht="15.75" thickBot="1" x14ac:dyDescent="0.3">
      <c r="B21" s="249" t="str">
        <f>D_T03!B18</f>
        <v xml:space="preserve">        Window 3 – Metal Frame, Single Pane</v>
      </c>
      <c r="C21" s="107" t="s">
        <v>63</v>
      </c>
      <c r="D21" s="106" t="s">
        <v>63</v>
      </c>
      <c r="E21" s="6"/>
      <c r="H21" s="9">
        <f t="shared" si="0"/>
        <v>0</v>
      </c>
    </row>
    <row r="22" spans="2:8" ht="15.75" thickBot="1" x14ac:dyDescent="0.3">
      <c r="B22" s="249" t="str">
        <f>D_T03!B19</f>
        <v xml:space="preserve">Wall 4 –faces South, Wood Frame </v>
      </c>
      <c r="C22" s="104"/>
      <c r="D22" s="106" t="str">
        <f>IF(C22="Complies","Pass","Fail")</f>
        <v>Fail</v>
      </c>
      <c r="E22" s="6"/>
      <c r="H22" s="9">
        <f t="shared" si="0"/>
        <v>1</v>
      </c>
    </row>
    <row r="23" spans="2:8" ht="15.75" thickBot="1" x14ac:dyDescent="0.3">
      <c r="B23" s="249" t="str">
        <f>D_T03!B20</f>
        <v xml:space="preserve">        Window 4 – Vinyl Frame  Low-e Double</v>
      </c>
      <c r="C23" s="107" t="s">
        <v>63</v>
      </c>
      <c r="D23" s="106" t="s">
        <v>63</v>
      </c>
      <c r="E23" s="6"/>
      <c r="H23" s="9">
        <f t="shared" si="0"/>
        <v>0</v>
      </c>
    </row>
    <row r="24" spans="2:8" ht="15.75" thickBot="1" x14ac:dyDescent="0.3">
      <c r="B24" s="249" t="str">
        <f>D_T03!B21</f>
        <v>Wall 5 –faces West, Wood Frame</v>
      </c>
      <c r="C24" s="104"/>
      <c r="D24" s="106" t="str">
        <f>IF(C24="Complies","Pass","Fail")</f>
        <v>Fail</v>
      </c>
      <c r="E24" s="6"/>
      <c r="H24" s="9">
        <f>IF(OR(D24="Not applicable",D24="Software Doesn't Check",D24="Pass"),0,1)</f>
        <v>1</v>
      </c>
    </row>
    <row r="25" spans="2:8" ht="15.75" thickBot="1" x14ac:dyDescent="0.3">
      <c r="B25" s="249" t="str">
        <f>D_T03!B22</f>
        <v xml:space="preserve">        Window 5 – Vinyl Frame Low-e Double</v>
      </c>
      <c r="C25" s="108" t="s">
        <v>63</v>
      </c>
      <c r="D25" s="106" t="str">
        <f>IF(C25="Complies","Pass","Fail")</f>
        <v>Fail</v>
      </c>
      <c r="E25" s="6"/>
      <c r="H25" s="9">
        <f t="shared" ref="H25:H46" si="1">IF(OR(D25="Not applicable",D25="Software Doesn't Check",D25="Pass"),0,1)</f>
        <v>1</v>
      </c>
    </row>
    <row r="26" spans="2:8" thickBot="1" x14ac:dyDescent="0.35">
      <c r="B26" s="249" t="str">
        <f>D_T03!B23</f>
        <v>Infiltration</v>
      </c>
      <c r="C26" s="109"/>
      <c r="D26" s="106" t="str">
        <f>IF(C26="Complies","Pass",IF(C26="Not part of software","Software Doesn't Check","Fail"))</f>
        <v>Fail</v>
      </c>
      <c r="E26" s="6"/>
      <c r="H26" s="9">
        <f t="shared" si="1"/>
        <v>1</v>
      </c>
    </row>
    <row r="27" spans="2:8" ht="15.75" thickBot="1" x14ac:dyDescent="0.3">
      <c r="B27" s="249" t="str">
        <f>D_T03!B24</f>
        <v>Heating – heat pump</v>
      </c>
      <c r="C27" s="114"/>
      <c r="D27" s="106" t="str">
        <f>IF(C27="Complies","Pass",IF(C27="Not part of software","Software Doesn't Check","Fail"))</f>
        <v>Fail</v>
      </c>
      <c r="E27" s="6"/>
      <c r="H27" s="9">
        <f t="shared" si="1"/>
        <v>1</v>
      </c>
    </row>
    <row r="28" spans="2:8" ht="15.75" thickBot="1" x14ac:dyDescent="0.3">
      <c r="B28" s="249" t="str">
        <f>D_T03!B25</f>
        <v>Cooling – heat pump</v>
      </c>
      <c r="C28" s="104"/>
      <c r="D28" s="106" t="str">
        <f>IF(C28="Complies","Pass",IF(C28="Not part of software","Software Doesn't Check","Fail"))</f>
        <v>Fail</v>
      </c>
      <c r="E28" s="6"/>
      <c r="H28" s="9">
        <f t="shared" si="1"/>
        <v>1</v>
      </c>
    </row>
    <row r="29" spans="2:8" ht="15.75" thickBot="1" x14ac:dyDescent="0.3">
      <c r="B29" s="249" t="str">
        <f>D_T03!B26</f>
        <v>Ducts – supply in attic</v>
      </c>
      <c r="C29" s="104"/>
      <c r="D29" s="106" t="str">
        <f>IF(C29="R-Value too low","Pass",IF(C29="Not part of software","Software Doesn't Check","Fail"))</f>
        <v>Fail</v>
      </c>
      <c r="E29" s="6"/>
      <c r="H29" s="9">
        <f t="shared" si="1"/>
        <v>1</v>
      </c>
    </row>
    <row r="30" spans="2:8" ht="15.75" thickBot="1" x14ac:dyDescent="0.3">
      <c r="B30" s="249" t="str">
        <f>D_T03!B27</f>
        <v>Ducts – Return in Conditioned Space</v>
      </c>
      <c r="C30" s="104"/>
      <c r="D30" s="106" t="str">
        <f t="shared" ref="D30:D38" si="2">IF(C30="Complies","Pass",IF(C30="Not part of software","Software Doesn't Check","Fail"))</f>
        <v>Fail</v>
      </c>
      <c r="E30" s="6"/>
      <c r="H30" s="9">
        <f t="shared" si="1"/>
        <v>1</v>
      </c>
    </row>
    <row r="31" spans="2:8" thickBot="1" x14ac:dyDescent="0.35">
      <c r="B31" s="249" t="str">
        <f>D_T03!B28</f>
        <v>Duct Tightness</v>
      </c>
      <c r="C31" s="104"/>
      <c r="D31" s="106" t="str">
        <f t="shared" si="2"/>
        <v>Fail</v>
      </c>
      <c r="E31" s="6"/>
      <c r="H31" s="9">
        <f t="shared" si="1"/>
        <v>1</v>
      </c>
    </row>
    <row r="32" spans="2:8" ht="15.75" thickBot="1" x14ac:dyDescent="0.3">
      <c r="B32" s="249" t="str">
        <f>D_T03!B29</f>
        <v>Air Handler – in Conditioned Space</v>
      </c>
      <c r="C32" s="104"/>
      <c r="D32" s="106" t="str">
        <f t="shared" si="2"/>
        <v>Fail</v>
      </c>
      <c r="E32" s="6"/>
      <c r="H32" s="9">
        <f t="shared" si="1"/>
        <v>1</v>
      </c>
    </row>
    <row r="33" spans="1:8" thickBot="1" x14ac:dyDescent="0.35">
      <c r="B33" s="249" t="str">
        <f>D_T03!B30</f>
        <v>Mechanical Ventilation</v>
      </c>
      <c r="C33" s="104"/>
      <c r="D33" s="106" t="str">
        <f t="shared" si="2"/>
        <v>Fail</v>
      </c>
      <c r="E33" s="6"/>
      <c r="H33" s="9">
        <f t="shared" si="1"/>
        <v>1</v>
      </c>
    </row>
    <row r="34" spans="1:8" thickBot="1" x14ac:dyDescent="0.35">
      <c r="B34" s="249" t="str">
        <f>D_T03!B31</f>
        <v>Hot Water System - electric</v>
      </c>
      <c r="C34" s="104"/>
      <c r="D34" s="106" t="str">
        <f t="shared" si="2"/>
        <v>Fail</v>
      </c>
      <c r="E34" s="6"/>
      <c r="H34" s="9">
        <f t="shared" si="1"/>
        <v>1</v>
      </c>
    </row>
    <row r="35" spans="1:8" thickBot="1" x14ac:dyDescent="0.35">
      <c r="B35" s="249" t="str">
        <f>D_T03!B32</f>
        <v>All Hot Water Lines</v>
      </c>
      <c r="C35" s="104"/>
      <c r="D35" s="106" t="str">
        <f t="shared" si="2"/>
        <v>Fail</v>
      </c>
      <c r="E35" s="6"/>
      <c r="H35" s="9">
        <f t="shared" si="1"/>
        <v>1</v>
      </c>
    </row>
    <row r="36" spans="1:8" thickBot="1" x14ac:dyDescent="0.35">
      <c r="B36" s="249" t="str">
        <f>D_T03!B33</f>
        <v>Hot Water Circulation -none</v>
      </c>
      <c r="C36" s="104"/>
      <c r="D36" s="106" t="str">
        <f t="shared" si="2"/>
        <v>Fail</v>
      </c>
      <c r="E36" s="6"/>
      <c r="H36" s="9">
        <f t="shared" si="1"/>
        <v>1</v>
      </c>
    </row>
    <row r="37" spans="1:8" thickBot="1" x14ac:dyDescent="0.35">
      <c r="B37" s="249" t="str">
        <f>D_T03!B34</f>
        <v>Lighting</v>
      </c>
      <c r="C37" s="104"/>
      <c r="D37" s="106" t="str">
        <f t="shared" si="2"/>
        <v>Fail</v>
      </c>
      <c r="E37" s="6"/>
      <c r="H37" s="9">
        <f t="shared" si="1"/>
        <v>1</v>
      </c>
    </row>
    <row r="38" spans="1:8" thickBot="1" x14ac:dyDescent="0.35">
      <c r="B38" s="249" t="str">
        <f>D_T03!B35</f>
        <v>Pool and Spa - none</v>
      </c>
      <c r="C38" s="104"/>
      <c r="D38" s="106" t="str">
        <f t="shared" si="2"/>
        <v>Fail</v>
      </c>
      <c r="E38" s="6"/>
      <c r="H38" s="9">
        <f t="shared" si="1"/>
        <v>1</v>
      </c>
    </row>
    <row r="39" spans="1:8" thickBot="1" x14ac:dyDescent="0.35">
      <c r="B39" s="250" t="str">
        <f>D_T03!B38</f>
        <v>Area Weighted Fenestration U-Factor Value</v>
      </c>
      <c r="C39" s="105"/>
      <c r="D39" s="106" t="str">
        <f>IF(C39&gt;UA_T03!M27,IF(C39&lt;=UA_T03!M28,"Pass","Fail"),"Fail")</f>
        <v>Fail</v>
      </c>
      <c r="E39" s="302"/>
      <c r="H39" s="9">
        <f t="shared" si="1"/>
        <v>1</v>
      </c>
    </row>
    <row r="40" spans="1:8" thickBot="1" x14ac:dyDescent="0.35">
      <c r="B40" s="250" t="str">
        <f>D_T03!B39</f>
        <v>Area Weighted Fenestration SHGC Value</v>
      </c>
      <c r="C40" s="104"/>
      <c r="D40" s="106" t="str">
        <f>IF(C40&gt;UA_T03!Q27,IF(C40&lt;=UA_T03!Q28,"Pass","Fail"),"Fail")</f>
        <v>Fail</v>
      </c>
      <c r="E40" s="302"/>
      <c r="H40" s="9">
        <f t="shared" si="1"/>
        <v>1</v>
      </c>
    </row>
    <row r="41" spans="1:8" thickBot="1" x14ac:dyDescent="0.35">
      <c r="B41" s="250" t="str">
        <f>D_T03!B40</f>
        <v>Total Thermal Envelope UA Value</v>
      </c>
      <c r="C41" s="111" t="s">
        <v>63</v>
      </c>
      <c r="D41" s="106" t="str">
        <f>IF(C41="Complies","Not applicable",IF(C41="Not applicable","Not applicable","Fail"))</f>
        <v>Not applicable</v>
      </c>
      <c r="E41" s="302"/>
      <c r="H41" s="9">
        <f t="shared" si="1"/>
        <v>0</v>
      </c>
    </row>
    <row r="42" spans="1:8" thickBot="1" x14ac:dyDescent="0.35">
      <c r="B42" s="250" t="str">
        <f>D_T03!B41</f>
        <v>Area Weighted Fenestration U-Factor Result</v>
      </c>
      <c r="C42" s="104"/>
      <c r="D42" s="106" t="str">
        <f>IF(C42="Complies","Pass","Fail")</f>
        <v>Fail</v>
      </c>
      <c r="E42" s="6"/>
      <c r="H42" s="9">
        <f t="shared" si="1"/>
        <v>1</v>
      </c>
    </row>
    <row r="43" spans="1:8" thickBot="1" x14ac:dyDescent="0.35">
      <c r="B43" s="250" t="str">
        <f>D_T03!B42</f>
        <v>Area Weighted Fenestration SHGC Result</v>
      </c>
      <c r="C43" s="104"/>
      <c r="D43" s="106" t="str">
        <f>IF(C43="Complies","Pass","Fail")</f>
        <v>Fail</v>
      </c>
      <c r="E43" s="6"/>
      <c r="H43" s="9">
        <f t="shared" si="1"/>
        <v>1</v>
      </c>
    </row>
    <row r="44" spans="1:8" thickBot="1" x14ac:dyDescent="0.35">
      <c r="B44" s="250" t="str">
        <f>D_T03!B43</f>
        <v>Baseline Thermal Envelope UA Value</v>
      </c>
      <c r="C44" s="112" t="s">
        <v>63</v>
      </c>
      <c r="D44" s="106" t="str">
        <f>IF(C44="Complies","Not applicable",IF(C44="Not applicable","Not applicable","Fail"))</f>
        <v>Not applicable</v>
      </c>
      <c r="E44" s="6"/>
      <c r="H44" s="9">
        <f t="shared" si="1"/>
        <v>0</v>
      </c>
    </row>
    <row r="45" spans="1:8" thickBot="1" x14ac:dyDescent="0.35">
      <c r="B45" s="250" t="str">
        <f>D_T03!B44</f>
        <v>Total Thermal Envelope UA Result</v>
      </c>
      <c r="C45" s="112" t="s">
        <v>63</v>
      </c>
      <c r="D45" s="106" t="str">
        <f>IF(C45="Complies","Not applicable",IF(C45="Not applicable","Not applicable","Fail"))</f>
        <v>Not applicable</v>
      </c>
      <c r="H45" s="9">
        <f t="shared" si="1"/>
        <v>0</v>
      </c>
    </row>
    <row r="46" spans="1:8" thickBot="1" x14ac:dyDescent="0.35">
      <c r="B46" s="250" t="str">
        <f>D_T03!B45</f>
        <v>House Complies?</v>
      </c>
      <c r="C46" s="104"/>
      <c r="D46" s="106" t="str">
        <f>IF(C46="No","Pass","Fail")</f>
        <v>Fail</v>
      </c>
      <c r="H46" s="9">
        <f t="shared" si="1"/>
        <v>1</v>
      </c>
    </row>
    <row r="47" spans="1:8" ht="21.6" customHeight="1" x14ac:dyDescent="0.5">
      <c r="B47" s="19"/>
      <c r="C47" s="15" t="s">
        <v>94</v>
      </c>
      <c r="D47" s="16" t="str">
        <f>IF(H47&gt;0,"FAIL","PASS")</f>
        <v>FAIL</v>
      </c>
      <c r="H47" s="258">
        <f xml:space="preserve"> SUM(H11:H46)</f>
        <v>28</v>
      </c>
    </row>
    <row r="48" spans="1:8" ht="7.9" customHeight="1" x14ac:dyDescent="0.3">
      <c r="A48" s="13"/>
      <c r="B48" s="20"/>
      <c r="C48" s="17"/>
      <c r="D48" s="18"/>
      <c r="E48" s="13"/>
      <c r="F48" s="13"/>
      <c r="G48" s="13"/>
    </row>
    <row r="49" spans="1:8" ht="14.45" x14ac:dyDescent="0.3">
      <c r="B49" s="19"/>
      <c r="C49" s="12"/>
      <c r="D49" s="11"/>
    </row>
    <row r="50" spans="1:8" ht="7.9" customHeight="1" x14ac:dyDescent="0.3">
      <c r="A50" s="2"/>
      <c r="B50" s="21"/>
      <c r="C50" s="2"/>
      <c r="D50" s="2"/>
      <c r="E50" s="2"/>
      <c r="F50" s="2"/>
      <c r="G50" s="2"/>
    </row>
    <row r="51" spans="1:8" ht="14.45" x14ac:dyDescent="0.3">
      <c r="B51" s="19"/>
    </row>
    <row r="52" spans="1:8" ht="33" customHeight="1" x14ac:dyDescent="0.3">
      <c r="B52" s="115" t="s">
        <v>25</v>
      </c>
      <c r="C52" s="307" t="s">
        <v>27</v>
      </c>
      <c r="D52" s="469" t="str">
        <f>IF(Instructions!D2="","Enter Vendor's Software Name In Instruction Sheet",Instructions!D2)</f>
        <v>Enter Vendor's Software Name In Instruction Sheet</v>
      </c>
      <c r="E52" s="469"/>
    </row>
    <row r="53" spans="1:8" ht="14.45" x14ac:dyDescent="0.3">
      <c r="B53" s="22" t="s">
        <v>76</v>
      </c>
    </row>
    <row r="54" spans="1:8" ht="14.45" x14ac:dyDescent="0.3">
      <c r="B54" s="30" t="s">
        <v>112</v>
      </c>
      <c r="C54" s="1"/>
      <c r="D54" s="8" t="s">
        <v>84</v>
      </c>
      <c r="E54" s="8"/>
    </row>
    <row r="55" spans="1:8" ht="14.45" x14ac:dyDescent="0.3">
      <c r="B55" s="31" t="s">
        <v>113</v>
      </c>
      <c r="C55" s="3"/>
      <c r="D55" s="3"/>
    </row>
    <row r="56" spans="1:8" ht="14.45" x14ac:dyDescent="0.3">
      <c r="B56" s="252" t="str">
        <f>D_T03!B4</f>
        <v>House Pr-T03</v>
      </c>
      <c r="C56" s="10" t="s">
        <v>77</v>
      </c>
      <c r="D56" s="4"/>
      <c r="E56" s="10" t="s">
        <v>244</v>
      </c>
      <c r="F56" s="117" t="s">
        <v>88</v>
      </c>
    </row>
    <row r="57" spans="1:8" thickBot="1" x14ac:dyDescent="0.35">
      <c r="B57" s="19"/>
      <c r="C57" s="10" t="s">
        <v>87</v>
      </c>
      <c r="D57" s="10" t="s">
        <v>77</v>
      </c>
      <c r="E57" s="10" t="s">
        <v>86</v>
      </c>
      <c r="F57" s="10" t="s">
        <v>89</v>
      </c>
    </row>
    <row r="58" spans="1:8" thickBot="1" x14ac:dyDescent="0.35">
      <c r="B58" s="248" t="str">
        <f>D_T03!B8</f>
        <v>Slab-on-grade Floor</v>
      </c>
      <c r="C58" s="107"/>
      <c r="D58" s="107"/>
      <c r="E58" s="104"/>
      <c r="F58" s="106" t="str">
        <f>IF(E58="Complies","Pass","Fail")</f>
        <v>Fail</v>
      </c>
      <c r="H58" s="9">
        <f>IF(OR(F58="Not applicable",F58="Software Doesn't Check",F58="Pass"),0,1)</f>
        <v>1</v>
      </c>
    </row>
    <row r="59" spans="1:8" ht="15" customHeight="1" thickBot="1" x14ac:dyDescent="0.35">
      <c r="B59" s="249" t="str">
        <f>D_T03!B9</f>
        <v>Roof – gable type- 5 in 12 slope No overhangs</v>
      </c>
      <c r="C59" s="107"/>
      <c r="D59" s="107"/>
      <c r="E59" s="104"/>
      <c r="F59" s="106" t="str">
        <f>IF(E59="Complies","Pass","Fail")</f>
        <v>Fail</v>
      </c>
      <c r="H59" s="9">
        <f t="shared" ref="H59:H93" si="3">IF(OR(F59="Not applicable",F59="Software Doesn't Check",F59="Pass"),0,1)</f>
        <v>1</v>
      </c>
    </row>
    <row r="60" spans="1:8" ht="15" customHeight="1" thickBot="1" x14ac:dyDescent="0.35">
      <c r="B60" s="249" t="str">
        <f>D_T03!B10</f>
        <v>Ceiling1 –flat under attic</v>
      </c>
      <c r="C60" s="104"/>
      <c r="D60" s="104"/>
      <c r="E60" s="104"/>
      <c r="F60" s="106" t="str">
        <f>IF(E60="U-Factor too high","Pass","Fail")</f>
        <v>Fail</v>
      </c>
      <c r="H60" s="9">
        <f t="shared" si="3"/>
        <v>1</v>
      </c>
    </row>
    <row r="61" spans="1:8" ht="15" customHeight="1" thickBot="1" x14ac:dyDescent="0.35">
      <c r="B61" s="249" t="str">
        <f>D_T03!B11</f>
        <v xml:space="preserve">        Skylight</v>
      </c>
      <c r="C61" s="107"/>
      <c r="D61" s="218">
        <f>D_T03!E11</f>
        <v>0.65</v>
      </c>
      <c r="E61" s="104"/>
      <c r="F61" s="106" t="str">
        <f>IF(E61="Complies","Pass","Fail")</f>
        <v>Fail</v>
      </c>
      <c r="H61" s="9">
        <f t="shared" si="3"/>
        <v>1</v>
      </c>
    </row>
    <row r="62" spans="1:8" ht="15" customHeight="1" thickBot="1" x14ac:dyDescent="0.35">
      <c r="B62" s="249" t="str">
        <f>D_T03!B12</f>
        <v>Wall 1 –faces North, Wood Frame2</v>
      </c>
      <c r="C62" s="104"/>
      <c r="D62" s="104"/>
      <c r="E62" s="104"/>
      <c r="F62" s="106" t="str">
        <f>IF(E62="Complies","Pass","Fail")</f>
        <v>Fail</v>
      </c>
      <c r="H62" s="9">
        <f t="shared" si="3"/>
        <v>1</v>
      </c>
    </row>
    <row r="63" spans="1:8" ht="15" customHeight="1" thickBot="1" x14ac:dyDescent="0.35">
      <c r="B63" s="249" t="str">
        <f>D_T03!B13</f>
        <v xml:space="preserve">        Door 1 - </v>
      </c>
      <c r="C63" s="107"/>
      <c r="D63" s="407">
        <f>D_T03!E13</f>
        <v>0.4</v>
      </c>
      <c r="E63" s="111" t="s">
        <v>63</v>
      </c>
      <c r="F63" s="106" t="s">
        <v>63</v>
      </c>
      <c r="H63" s="9">
        <f t="shared" si="3"/>
        <v>0</v>
      </c>
    </row>
    <row r="64" spans="1:8" ht="15" customHeight="1" thickBot="1" x14ac:dyDescent="0.35">
      <c r="B64" s="249" t="str">
        <f>D_T03!B14</f>
        <v xml:space="preserve">        Window 1 – Vinyl Frame Low-e Double</v>
      </c>
      <c r="C64" s="107"/>
      <c r="D64" s="407">
        <f>D_T03!E14</f>
        <v>0.35</v>
      </c>
      <c r="E64" s="111" t="s">
        <v>63</v>
      </c>
      <c r="F64" s="106" t="s">
        <v>63</v>
      </c>
      <c r="H64" s="9">
        <f t="shared" si="3"/>
        <v>0</v>
      </c>
    </row>
    <row r="65" spans="2:8" ht="15" customHeight="1" thickBot="1" x14ac:dyDescent="0.35">
      <c r="B65" s="249" t="str">
        <f>D_T03!B15</f>
        <v>Wall 2 –faces East, Wood Frame</v>
      </c>
      <c r="C65" s="104"/>
      <c r="D65" s="104"/>
      <c r="E65" s="104"/>
      <c r="F65" s="106" t="str">
        <f>IF(E65="Complies","Pass","Fail")</f>
        <v>Fail</v>
      </c>
      <c r="H65" s="9">
        <f t="shared" si="3"/>
        <v>1</v>
      </c>
    </row>
    <row r="66" spans="2:8" ht="15" customHeight="1" thickBot="1" x14ac:dyDescent="0.35">
      <c r="B66" s="249" t="str">
        <f>D_T03!B16</f>
        <v xml:space="preserve">        Window 2 – Vinyl Frame Low-e Double</v>
      </c>
      <c r="C66" s="107"/>
      <c r="D66" s="407">
        <f>D_T03!E16</f>
        <v>0.35</v>
      </c>
      <c r="E66" s="111" t="s">
        <v>63</v>
      </c>
      <c r="F66" s="106" t="s">
        <v>63</v>
      </c>
      <c r="H66" s="9">
        <f t="shared" si="3"/>
        <v>0</v>
      </c>
    </row>
    <row r="67" spans="2:8" ht="15" customHeight="1" thickBot="1" x14ac:dyDescent="0.35">
      <c r="B67" s="249" t="str">
        <f>D_T03!B17</f>
        <v>Wall 3 –faces South, Wood Frame</v>
      </c>
      <c r="C67" s="104"/>
      <c r="D67" s="104"/>
      <c r="E67" s="104"/>
      <c r="F67" s="106" t="str">
        <f>IF(E67="Complies","Pass","Fail")</f>
        <v>Fail</v>
      </c>
      <c r="H67" s="9">
        <f t="shared" si="3"/>
        <v>1</v>
      </c>
    </row>
    <row r="68" spans="2:8" ht="15" customHeight="1" thickBot="1" x14ac:dyDescent="0.35">
      <c r="B68" s="249" t="str">
        <f>D_T03!B18</f>
        <v xml:space="preserve">        Window 3 – Metal Frame, Single Pane</v>
      </c>
      <c r="C68" s="107"/>
      <c r="D68" s="407">
        <f>D_T03!E18</f>
        <v>1.2</v>
      </c>
      <c r="E68" s="111" t="s">
        <v>63</v>
      </c>
      <c r="F68" s="106" t="s">
        <v>63</v>
      </c>
      <c r="H68" s="9">
        <f t="shared" si="3"/>
        <v>0</v>
      </c>
    </row>
    <row r="69" spans="2:8" ht="15" customHeight="1" thickBot="1" x14ac:dyDescent="0.35">
      <c r="B69" s="249" t="str">
        <f>D_T03!B19</f>
        <v xml:space="preserve">Wall 4 –faces South, Wood Frame </v>
      </c>
      <c r="C69" s="104"/>
      <c r="D69" s="104"/>
      <c r="E69" s="104"/>
      <c r="F69" s="106" t="str">
        <f>IF(E69="U-Factor too high","Pass","Fail")</f>
        <v>Fail</v>
      </c>
      <c r="H69" s="9">
        <f t="shared" si="3"/>
        <v>1</v>
      </c>
    </row>
    <row r="70" spans="2:8" ht="15" customHeight="1" thickBot="1" x14ac:dyDescent="0.35">
      <c r="B70" s="249" t="str">
        <f>D_T03!B20</f>
        <v xml:space="preserve">        Window 4 – Vinyl Frame  Low-e Double</v>
      </c>
      <c r="C70" s="107"/>
      <c r="D70" s="407">
        <f>D_T03!E20</f>
        <v>0.35</v>
      </c>
      <c r="E70" s="111" t="s">
        <v>63</v>
      </c>
      <c r="F70" s="106" t="s">
        <v>63</v>
      </c>
      <c r="H70" s="9">
        <f t="shared" si="3"/>
        <v>0</v>
      </c>
    </row>
    <row r="71" spans="2:8" ht="15" customHeight="1" thickBot="1" x14ac:dyDescent="0.35">
      <c r="B71" s="249" t="str">
        <f>D_T03!B21</f>
        <v>Wall 5 –faces West, Wood Frame</v>
      </c>
      <c r="C71" s="104"/>
      <c r="D71" s="104"/>
      <c r="E71" s="104"/>
      <c r="F71" s="106" t="str">
        <f>IF(E71="Complies","Pass","Fail")</f>
        <v>Fail</v>
      </c>
      <c r="H71" s="9">
        <f t="shared" si="3"/>
        <v>1</v>
      </c>
    </row>
    <row r="72" spans="2:8" ht="15" customHeight="1" thickBot="1" x14ac:dyDescent="0.35">
      <c r="B72" s="249" t="str">
        <f>D_T03!B22</f>
        <v xml:space="preserve">        Window 5 – Vinyl Frame Low-e Double</v>
      </c>
      <c r="C72" s="107"/>
      <c r="D72" s="407">
        <f>D_T03!E22</f>
        <v>0.35</v>
      </c>
      <c r="E72" s="111" t="s">
        <v>63</v>
      </c>
      <c r="F72" s="106" t="s">
        <v>63</v>
      </c>
      <c r="H72" s="9">
        <f t="shared" si="3"/>
        <v>0</v>
      </c>
    </row>
    <row r="73" spans="2:8" ht="15" customHeight="1" thickBot="1" x14ac:dyDescent="0.35">
      <c r="B73" s="249" t="str">
        <f>D_T03!B23</f>
        <v>Infiltration</v>
      </c>
      <c r="C73" s="107"/>
      <c r="D73" s="107"/>
      <c r="E73" s="113"/>
      <c r="F73" s="106" t="str">
        <f>IF(E73="Complies","Pass",IF(E73="Not part of software","Software Doesn't Check","Fail"))</f>
        <v>Fail</v>
      </c>
      <c r="H73" s="9">
        <f t="shared" si="3"/>
        <v>1</v>
      </c>
    </row>
    <row r="74" spans="2:8" ht="15" customHeight="1" thickBot="1" x14ac:dyDescent="0.35">
      <c r="B74" s="249" t="str">
        <f>D_T03!B24</f>
        <v>Heating – heat pump</v>
      </c>
      <c r="C74" s="107"/>
      <c r="D74" s="107"/>
      <c r="E74" s="114"/>
      <c r="F74" s="106" t="str">
        <f>IF(E74="Complies","Pass",IF(E74="Not part of software","Software Doesn't Check","Fail"))</f>
        <v>Fail</v>
      </c>
      <c r="H74" s="9">
        <f t="shared" si="3"/>
        <v>1</v>
      </c>
    </row>
    <row r="75" spans="2:8" ht="15" customHeight="1" thickBot="1" x14ac:dyDescent="0.35">
      <c r="B75" s="249" t="str">
        <f>D_T03!B25</f>
        <v>Cooling – heat pump</v>
      </c>
      <c r="C75" s="107"/>
      <c r="D75" s="107"/>
      <c r="E75" s="113"/>
      <c r="F75" s="106" t="str">
        <f>IF(E75="Complies","Pass",IF(E75="Not part of software","Software Doesn't Check","Fail"))</f>
        <v>Fail</v>
      </c>
      <c r="H75" s="9">
        <f t="shared" si="3"/>
        <v>1</v>
      </c>
    </row>
    <row r="76" spans="2:8" ht="15" customHeight="1" thickBot="1" x14ac:dyDescent="0.35">
      <c r="B76" s="249" t="str">
        <f>D_T03!B26</f>
        <v>Ducts – supply in attic</v>
      </c>
      <c r="C76" s="107"/>
      <c r="D76" s="107"/>
      <c r="E76" s="113"/>
      <c r="F76" s="106" t="str">
        <f>IF(E76="Complies","Pass",IF(E76="Not part of software","Software Doesn't Check","Fail"))</f>
        <v>Fail</v>
      </c>
      <c r="H76" s="9">
        <f t="shared" si="3"/>
        <v>1</v>
      </c>
    </row>
    <row r="77" spans="2:8" ht="15" customHeight="1" thickBot="1" x14ac:dyDescent="0.35">
      <c r="B77" s="249" t="str">
        <f>D_T03!B27</f>
        <v>Ducts – Return in Conditioned Space</v>
      </c>
      <c r="C77" s="107"/>
      <c r="D77" s="107"/>
      <c r="E77" s="113"/>
      <c r="F77" s="106" t="str">
        <f t="shared" ref="F77:F85" si="4">IF(E77="Complies","Pass",IF(E77="Not part of software","Software Doesn't Check","Fail"))</f>
        <v>Fail</v>
      </c>
      <c r="H77" s="9">
        <f t="shared" si="3"/>
        <v>1</v>
      </c>
    </row>
    <row r="78" spans="2:8" ht="15" customHeight="1" thickBot="1" x14ac:dyDescent="0.35">
      <c r="B78" s="249" t="str">
        <f>D_T03!B28</f>
        <v>Duct Tightness</v>
      </c>
      <c r="C78" s="107"/>
      <c r="D78" s="107"/>
      <c r="E78" s="113"/>
      <c r="F78" s="106" t="str">
        <f t="shared" si="4"/>
        <v>Fail</v>
      </c>
      <c r="H78" s="9">
        <f t="shared" si="3"/>
        <v>1</v>
      </c>
    </row>
    <row r="79" spans="2:8" ht="15" customHeight="1" thickBot="1" x14ac:dyDescent="0.35">
      <c r="B79" s="249" t="str">
        <f>D_T03!B29</f>
        <v>Air Handler – in Conditioned Space</v>
      </c>
      <c r="C79" s="107"/>
      <c r="D79" s="107"/>
      <c r="E79" s="113"/>
      <c r="F79" s="106" t="str">
        <f t="shared" si="4"/>
        <v>Fail</v>
      </c>
      <c r="H79" s="9">
        <f t="shared" si="3"/>
        <v>1</v>
      </c>
    </row>
    <row r="80" spans="2:8" ht="15" customHeight="1" thickBot="1" x14ac:dyDescent="0.35">
      <c r="B80" s="249" t="str">
        <f>D_T03!B30</f>
        <v>Mechanical Ventilation</v>
      </c>
      <c r="C80" s="107"/>
      <c r="D80" s="107"/>
      <c r="E80" s="104"/>
      <c r="F80" s="106" t="str">
        <f t="shared" si="4"/>
        <v>Fail</v>
      </c>
      <c r="H80" s="9">
        <f t="shared" si="3"/>
        <v>1</v>
      </c>
    </row>
    <row r="81" spans="1:8" ht="15" customHeight="1" thickBot="1" x14ac:dyDescent="0.35">
      <c r="B81" s="249" t="str">
        <f>D_T03!B31</f>
        <v>Hot Water System - electric</v>
      </c>
      <c r="C81" s="107"/>
      <c r="D81" s="107"/>
      <c r="E81" s="113"/>
      <c r="F81" s="106" t="str">
        <f t="shared" si="4"/>
        <v>Fail</v>
      </c>
      <c r="H81" s="9">
        <f t="shared" si="3"/>
        <v>1</v>
      </c>
    </row>
    <row r="82" spans="1:8" ht="15" customHeight="1" thickBot="1" x14ac:dyDescent="0.35">
      <c r="B82" s="249" t="str">
        <f>D_T03!B32</f>
        <v>All Hot Water Lines</v>
      </c>
      <c r="C82" s="107"/>
      <c r="D82" s="107"/>
      <c r="E82" s="113"/>
      <c r="F82" s="106" t="str">
        <f t="shared" si="4"/>
        <v>Fail</v>
      </c>
      <c r="H82" s="9">
        <f t="shared" si="3"/>
        <v>1</v>
      </c>
    </row>
    <row r="83" spans="1:8" ht="15" customHeight="1" thickBot="1" x14ac:dyDescent="0.35">
      <c r="B83" s="249" t="str">
        <f>D_T03!B33</f>
        <v>Hot Water Circulation -none</v>
      </c>
      <c r="C83" s="107"/>
      <c r="D83" s="107"/>
      <c r="E83" s="113"/>
      <c r="F83" s="106" t="str">
        <f t="shared" si="4"/>
        <v>Fail</v>
      </c>
      <c r="H83" s="9">
        <f t="shared" si="3"/>
        <v>1</v>
      </c>
    </row>
    <row r="84" spans="1:8" ht="15" customHeight="1" thickBot="1" x14ac:dyDescent="0.35">
      <c r="B84" s="249" t="str">
        <f>D_T03!B34</f>
        <v>Lighting</v>
      </c>
      <c r="C84" s="107"/>
      <c r="D84" s="107"/>
      <c r="E84" s="113"/>
      <c r="F84" s="106" t="str">
        <f t="shared" si="4"/>
        <v>Fail</v>
      </c>
      <c r="H84" s="9">
        <f t="shared" si="3"/>
        <v>1</v>
      </c>
    </row>
    <row r="85" spans="1:8" ht="15" customHeight="1" thickBot="1" x14ac:dyDescent="0.35">
      <c r="B85" s="249" t="str">
        <f>D_T03!B35</f>
        <v>Pool and Spa - none</v>
      </c>
      <c r="C85" s="107"/>
      <c r="D85" s="107"/>
      <c r="E85" s="113"/>
      <c r="F85" s="106" t="str">
        <f t="shared" si="4"/>
        <v>Fail</v>
      </c>
      <c r="H85" s="9">
        <f t="shared" si="3"/>
        <v>1</v>
      </c>
    </row>
    <row r="86" spans="1:8" ht="15" customHeight="1" thickBot="1" x14ac:dyDescent="0.35">
      <c r="B86" s="250" t="str">
        <f>D_T03!B38</f>
        <v>Area Weighted Fenestration U-Factor Value</v>
      </c>
      <c r="C86" s="107"/>
      <c r="D86" s="107"/>
      <c r="E86" s="105"/>
      <c r="F86" s="106" t="str">
        <f>IF(E86&gt;UA_T03!O27,IF(E86&lt;=UA_T03!O28,"Pass","Fail"),"Fail")</f>
        <v>Fail</v>
      </c>
      <c r="H86" s="9">
        <f t="shared" si="3"/>
        <v>1</v>
      </c>
    </row>
    <row r="87" spans="1:8" ht="15" customHeight="1" thickBot="1" x14ac:dyDescent="0.35">
      <c r="B87" s="250" t="str">
        <f>D_T03!B39</f>
        <v>Area Weighted Fenestration SHGC Value</v>
      </c>
      <c r="C87" s="107"/>
      <c r="D87" s="107"/>
      <c r="E87" s="104"/>
      <c r="F87" s="106" t="str">
        <f>IF(E87&gt;UA_T03!S27,IF(E87&lt;=UA_T03!S28,"Pass","Fail"),"Fail")</f>
        <v>Fail</v>
      </c>
      <c r="H87" s="9">
        <f t="shared" si="3"/>
        <v>1</v>
      </c>
    </row>
    <row r="88" spans="1:8" ht="15" customHeight="1" thickBot="1" x14ac:dyDescent="0.35">
      <c r="B88" s="250" t="str">
        <f>D_T03!B40</f>
        <v>Total Thermal Envelope UA Value</v>
      </c>
      <c r="C88" s="107"/>
      <c r="D88" s="107"/>
      <c r="E88" s="111" t="s">
        <v>63</v>
      </c>
      <c r="F88" s="106" t="s">
        <v>63</v>
      </c>
      <c r="H88" s="9">
        <f t="shared" si="3"/>
        <v>0</v>
      </c>
    </row>
    <row r="89" spans="1:8" ht="15" customHeight="1" thickBot="1" x14ac:dyDescent="0.35">
      <c r="B89" s="250" t="str">
        <f>D_T03!B41</f>
        <v>Area Weighted Fenestration U-Factor Result</v>
      </c>
      <c r="C89" s="107"/>
      <c r="D89" s="111"/>
      <c r="E89" s="104"/>
      <c r="F89" s="106" t="str">
        <f>IF(E89="Complies","Pass","Fail")</f>
        <v>Fail</v>
      </c>
      <c r="H89" s="9">
        <f t="shared" si="3"/>
        <v>1</v>
      </c>
    </row>
    <row r="90" spans="1:8" ht="15" customHeight="1" thickBot="1" x14ac:dyDescent="0.35">
      <c r="B90" s="250" t="str">
        <f>D_T03!B42</f>
        <v>Area Weighted Fenestration SHGC Result</v>
      </c>
      <c r="C90" s="107"/>
      <c r="D90" s="111"/>
      <c r="E90" s="104"/>
      <c r="F90" s="106" t="str">
        <f>IF(E90="Average SHGC too high","Pass","Fail")</f>
        <v>Fail</v>
      </c>
      <c r="H90" s="9">
        <f t="shared" si="3"/>
        <v>1</v>
      </c>
    </row>
    <row r="91" spans="1:8" ht="15" customHeight="1" thickBot="1" x14ac:dyDescent="0.35">
      <c r="B91" s="250" t="str">
        <f>D_T03!B43</f>
        <v>Baseline Thermal Envelope UA Value</v>
      </c>
      <c r="C91" s="107"/>
      <c r="D91" s="111"/>
      <c r="E91" s="111" t="s">
        <v>63</v>
      </c>
      <c r="F91" s="106" t="s">
        <v>63</v>
      </c>
      <c r="H91" s="9">
        <f t="shared" si="3"/>
        <v>0</v>
      </c>
    </row>
    <row r="92" spans="1:8" ht="15" customHeight="1" thickBot="1" x14ac:dyDescent="0.35">
      <c r="B92" s="250" t="str">
        <f>D_T03!B44</f>
        <v>Total Thermal Envelope UA Result</v>
      </c>
      <c r="C92" s="107"/>
      <c r="D92" s="111"/>
      <c r="E92" s="111" t="s">
        <v>63</v>
      </c>
      <c r="F92" s="106" t="s">
        <v>63</v>
      </c>
      <c r="H92" s="9">
        <f t="shared" si="3"/>
        <v>0</v>
      </c>
    </row>
    <row r="93" spans="1:8" ht="15" customHeight="1" thickBot="1" x14ac:dyDescent="0.35">
      <c r="B93" s="250" t="str">
        <f>D_T03!B45</f>
        <v>House Complies?</v>
      </c>
      <c r="C93" s="107"/>
      <c r="D93" s="111"/>
      <c r="E93" s="104"/>
      <c r="F93" s="106" t="str">
        <f>IF(E93="No","Pass","Fail")</f>
        <v>Fail</v>
      </c>
      <c r="H93" s="9">
        <f t="shared" si="3"/>
        <v>1</v>
      </c>
    </row>
    <row r="94" spans="1:8" ht="21" customHeight="1" x14ac:dyDescent="0.5">
      <c r="B94" s="19"/>
      <c r="E94" s="24" t="s">
        <v>85</v>
      </c>
      <c r="F94" s="16" t="str">
        <f>IF(H94&gt;0,"FAIL","PASS")</f>
        <v>FAIL</v>
      </c>
      <c r="H94" s="258">
        <f xml:space="preserve"> SUM(H58:H93)</f>
        <v>27</v>
      </c>
    </row>
    <row r="95" spans="1:8" ht="7.9" customHeight="1" x14ac:dyDescent="0.3">
      <c r="A95" s="2"/>
      <c r="B95" s="21"/>
      <c r="C95" s="2"/>
      <c r="D95" s="2"/>
      <c r="E95" s="25"/>
      <c r="F95" s="2"/>
    </row>
    <row r="96" spans="1:8" ht="14.45" x14ac:dyDescent="0.3">
      <c r="B96" s="19"/>
      <c r="E96" s="26"/>
    </row>
    <row r="97" spans="1:8" ht="7.9" customHeight="1" x14ac:dyDescent="0.3">
      <c r="A97" s="14"/>
      <c r="B97" s="23"/>
      <c r="C97" s="14"/>
      <c r="D97" s="14"/>
      <c r="E97" s="27"/>
      <c r="F97" s="14"/>
    </row>
    <row r="98" spans="1:8" ht="14.45" x14ac:dyDescent="0.3">
      <c r="B98" s="19"/>
      <c r="E98" s="26"/>
    </row>
    <row r="99" spans="1:8" ht="32.25" customHeight="1" x14ac:dyDescent="0.3">
      <c r="B99" s="116" t="s">
        <v>25</v>
      </c>
      <c r="C99" s="260" t="s">
        <v>27</v>
      </c>
      <c r="D99" s="469" t="str">
        <f>IF(Instructions!D2="","Enter Vendor's Software Name In Instruction Sheet",Instructions!D2)</f>
        <v>Enter Vendor's Software Name In Instruction Sheet</v>
      </c>
      <c r="E99" s="469"/>
    </row>
    <row r="100" spans="1:8" ht="14.45" x14ac:dyDescent="0.3">
      <c r="B100" s="22" t="s">
        <v>79</v>
      </c>
      <c r="E100" s="26"/>
    </row>
    <row r="101" spans="1:8" ht="14.45" x14ac:dyDescent="0.3">
      <c r="B101" s="30" t="s">
        <v>112</v>
      </c>
      <c r="C101" s="1"/>
      <c r="D101" s="8" t="s">
        <v>84</v>
      </c>
      <c r="E101" s="28"/>
    </row>
    <row r="102" spans="1:8" ht="14.45" x14ac:dyDescent="0.3">
      <c r="B102" s="31" t="s">
        <v>113</v>
      </c>
      <c r="C102" s="3"/>
      <c r="D102" s="3"/>
      <c r="E102" s="26"/>
    </row>
    <row r="103" spans="1:8" ht="14.45" x14ac:dyDescent="0.3">
      <c r="B103" s="252" t="str">
        <f>D_T03!B4</f>
        <v>House Pr-T03</v>
      </c>
      <c r="C103" s="10" t="s">
        <v>77</v>
      </c>
      <c r="D103" s="10"/>
      <c r="E103" s="29" t="s">
        <v>244</v>
      </c>
      <c r="F103" s="117" t="s">
        <v>88</v>
      </c>
    </row>
    <row r="104" spans="1:8" thickBot="1" x14ac:dyDescent="0.35">
      <c r="B104" s="19"/>
      <c r="C104" s="10" t="s">
        <v>87</v>
      </c>
      <c r="D104" s="10" t="s">
        <v>77</v>
      </c>
      <c r="E104" s="29" t="s">
        <v>86</v>
      </c>
      <c r="F104" s="117" t="s">
        <v>90</v>
      </c>
    </row>
    <row r="105" spans="1:8" thickBot="1" x14ac:dyDescent="0.35">
      <c r="B105" s="248" t="str">
        <f>D_T03!B8</f>
        <v>Slab-on-grade Floor</v>
      </c>
      <c r="C105" s="107"/>
      <c r="D105" s="107"/>
      <c r="E105" s="111" t="s">
        <v>63</v>
      </c>
      <c r="F105" s="467" t="s">
        <v>63</v>
      </c>
      <c r="H105" s="9">
        <f t="shared" ref="H105:H140" si="5">IF(OR(F105="Not applicable",F105="Software Doesn't Check",F105="Pass"),0,1)</f>
        <v>0</v>
      </c>
    </row>
    <row r="106" spans="1:8" ht="15.75" thickBot="1" x14ac:dyDescent="0.3">
      <c r="B106" s="249" t="str">
        <f>D_T03!B9</f>
        <v>Roof – gable type- 5 in 12 slope No overhangs</v>
      </c>
      <c r="C106" s="107"/>
      <c r="D106" s="107"/>
      <c r="E106" s="111" t="s">
        <v>63</v>
      </c>
      <c r="F106" s="467" t="s">
        <v>63</v>
      </c>
      <c r="H106" s="9">
        <f t="shared" si="5"/>
        <v>0</v>
      </c>
    </row>
    <row r="107" spans="1:8" ht="15.75" thickBot="1" x14ac:dyDescent="0.3">
      <c r="B107" s="249" t="str">
        <f>D_T03!B10</f>
        <v>Ceiling1 –flat under attic</v>
      </c>
      <c r="C107" s="104"/>
      <c r="D107" s="104"/>
      <c r="E107" s="111" t="s">
        <v>63</v>
      </c>
      <c r="F107" s="467" t="s">
        <v>63</v>
      </c>
      <c r="H107" s="9">
        <f t="shared" si="5"/>
        <v>0</v>
      </c>
    </row>
    <row r="108" spans="1:8" thickBot="1" x14ac:dyDescent="0.35">
      <c r="B108" s="249" t="str">
        <f>D_T03!B11</f>
        <v xml:space="preserve">        Skylight</v>
      </c>
      <c r="C108" s="111"/>
      <c r="D108" s="219">
        <f>D_T03!E11</f>
        <v>0.65</v>
      </c>
      <c r="E108" s="104"/>
      <c r="F108" s="467" t="str">
        <f>IF(E108="Complies","Pass","Fail")</f>
        <v>Fail</v>
      </c>
      <c r="H108" s="9">
        <f t="shared" si="5"/>
        <v>1</v>
      </c>
    </row>
    <row r="109" spans="1:8" ht="15.75" thickBot="1" x14ac:dyDescent="0.3">
      <c r="B109" s="249" t="str">
        <f>D_T03!B12</f>
        <v>Wall 1 –faces North, Wood Frame2</v>
      </c>
      <c r="C109" s="104"/>
      <c r="D109" s="104"/>
      <c r="E109" s="111" t="s">
        <v>63</v>
      </c>
      <c r="F109" s="467" t="s">
        <v>63</v>
      </c>
      <c r="H109" s="9">
        <f t="shared" si="5"/>
        <v>0</v>
      </c>
    </row>
    <row r="110" spans="1:8" thickBot="1" x14ac:dyDescent="0.35">
      <c r="B110" s="249" t="str">
        <f>D_T03!B13</f>
        <v xml:space="preserve">        Door 1 - </v>
      </c>
      <c r="C110" s="111"/>
      <c r="D110" s="408">
        <f>D_T03!E13</f>
        <v>0.4</v>
      </c>
      <c r="E110" s="111" t="s">
        <v>63</v>
      </c>
      <c r="F110" s="467" t="s">
        <v>63</v>
      </c>
      <c r="H110" s="9">
        <f t="shared" si="5"/>
        <v>0</v>
      </c>
    </row>
    <row r="111" spans="1:8" ht="15.75" thickBot="1" x14ac:dyDescent="0.3">
      <c r="B111" s="249" t="str">
        <f>D_T03!B14</f>
        <v xml:space="preserve">        Window 1 – Vinyl Frame Low-e Double</v>
      </c>
      <c r="C111" s="111"/>
      <c r="D111" s="408">
        <f>D_T03!E14</f>
        <v>0.35</v>
      </c>
      <c r="E111" s="111" t="s">
        <v>63</v>
      </c>
      <c r="F111" s="467" t="s">
        <v>63</v>
      </c>
      <c r="H111" s="9">
        <f t="shared" si="5"/>
        <v>0</v>
      </c>
    </row>
    <row r="112" spans="1:8" ht="15.75" thickBot="1" x14ac:dyDescent="0.3">
      <c r="B112" s="249" t="str">
        <f>D_T03!B15</f>
        <v>Wall 2 –faces East, Wood Frame</v>
      </c>
      <c r="C112" s="104"/>
      <c r="D112" s="104"/>
      <c r="E112" s="111" t="s">
        <v>63</v>
      </c>
      <c r="F112" s="467" t="s">
        <v>63</v>
      </c>
      <c r="H112" s="9">
        <f t="shared" si="5"/>
        <v>0</v>
      </c>
    </row>
    <row r="113" spans="2:8" ht="15.75" thickBot="1" x14ac:dyDescent="0.3">
      <c r="B113" s="249" t="str">
        <f>D_T03!B16</f>
        <v xml:space="preserve">        Window 2 – Vinyl Frame Low-e Double</v>
      </c>
      <c r="C113" s="111"/>
      <c r="D113" s="408">
        <f>D_T03!E16</f>
        <v>0.35</v>
      </c>
      <c r="E113" s="111" t="s">
        <v>63</v>
      </c>
      <c r="F113" s="467" t="s">
        <v>63</v>
      </c>
      <c r="H113" s="9">
        <f t="shared" si="5"/>
        <v>0</v>
      </c>
    </row>
    <row r="114" spans="2:8" ht="15.75" thickBot="1" x14ac:dyDescent="0.3">
      <c r="B114" s="249" t="str">
        <f>D_T03!B17</f>
        <v>Wall 3 –faces South, Wood Frame</v>
      </c>
      <c r="C114" s="104"/>
      <c r="D114" s="104"/>
      <c r="E114" s="111" t="s">
        <v>63</v>
      </c>
      <c r="F114" s="467" t="s">
        <v>63</v>
      </c>
      <c r="H114" s="9">
        <f t="shared" si="5"/>
        <v>0</v>
      </c>
    </row>
    <row r="115" spans="2:8" ht="15.75" thickBot="1" x14ac:dyDescent="0.3">
      <c r="B115" s="249" t="str">
        <f>D_T03!B18</f>
        <v xml:space="preserve">        Window 3 – Metal Frame, Single Pane</v>
      </c>
      <c r="C115" s="111"/>
      <c r="D115" s="408">
        <f>D_T03!E18</f>
        <v>1.2</v>
      </c>
      <c r="E115" s="111" t="s">
        <v>63</v>
      </c>
      <c r="F115" s="467" t="s">
        <v>63</v>
      </c>
      <c r="H115" s="9">
        <f t="shared" si="5"/>
        <v>0</v>
      </c>
    </row>
    <row r="116" spans="2:8" ht="15.75" thickBot="1" x14ac:dyDescent="0.3">
      <c r="B116" s="249" t="str">
        <f>D_T03!B19</f>
        <v xml:space="preserve">Wall 4 –faces South, Wood Frame </v>
      </c>
      <c r="C116" s="104"/>
      <c r="D116" s="104"/>
      <c r="E116" s="111" t="s">
        <v>63</v>
      </c>
      <c r="F116" s="467" t="s">
        <v>63</v>
      </c>
      <c r="H116" s="9">
        <f t="shared" si="5"/>
        <v>0</v>
      </c>
    </row>
    <row r="117" spans="2:8" ht="15.75" thickBot="1" x14ac:dyDescent="0.3">
      <c r="B117" s="249" t="str">
        <f>D_T03!B20</f>
        <v xml:space="preserve">        Window 4 – Vinyl Frame  Low-e Double</v>
      </c>
      <c r="C117" s="111"/>
      <c r="D117" s="408">
        <f>D_T03!E20</f>
        <v>0.35</v>
      </c>
      <c r="E117" s="111" t="s">
        <v>63</v>
      </c>
      <c r="F117" s="467" t="s">
        <v>63</v>
      </c>
      <c r="H117" s="9">
        <f t="shared" si="5"/>
        <v>0</v>
      </c>
    </row>
    <row r="118" spans="2:8" ht="15.75" thickBot="1" x14ac:dyDescent="0.3">
      <c r="B118" s="249" t="str">
        <f>D_T03!B21</f>
        <v>Wall 5 –faces West, Wood Frame</v>
      </c>
      <c r="C118" s="104"/>
      <c r="D118" s="104"/>
      <c r="E118" s="111" t="s">
        <v>63</v>
      </c>
      <c r="F118" s="467" t="s">
        <v>63</v>
      </c>
      <c r="H118" s="9">
        <f t="shared" si="5"/>
        <v>0</v>
      </c>
    </row>
    <row r="119" spans="2:8" ht="15.75" thickBot="1" x14ac:dyDescent="0.3">
      <c r="B119" s="249" t="str">
        <f>D_T03!B22</f>
        <v xml:space="preserve">        Window 5 – Vinyl Frame Low-e Double</v>
      </c>
      <c r="C119" s="107"/>
      <c r="D119" s="407">
        <f>D_T03!E22</f>
        <v>0.35</v>
      </c>
      <c r="E119" s="111" t="s">
        <v>63</v>
      </c>
      <c r="F119" s="467" t="s">
        <v>63</v>
      </c>
      <c r="H119" s="9">
        <f t="shared" si="5"/>
        <v>0</v>
      </c>
    </row>
    <row r="120" spans="2:8" thickBot="1" x14ac:dyDescent="0.35">
      <c r="B120" s="249" t="str">
        <f>D_T03!B23</f>
        <v>Infiltration</v>
      </c>
      <c r="C120" s="107"/>
      <c r="D120" s="107"/>
      <c r="E120" s="113"/>
      <c r="F120" s="106" t="str">
        <f>IF(E120="Complies","Pass",IF(E120="Not part of software","Software Doesn't Check","Fail"))</f>
        <v>Fail</v>
      </c>
      <c r="H120" s="9">
        <f t="shared" si="5"/>
        <v>1</v>
      </c>
    </row>
    <row r="121" spans="2:8" ht="15.75" thickBot="1" x14ac:dyDescent="0.3">
      <c r="B121" s="249" t="str">
        <f>D_T03!B24</f>
        <v>Heating – heat pump</v>
      </c>
      <c r="C121" s="107"/>
      <c r="D121" s="107"/>
      <c r="E121" s="114"/>
      <c r="F121" s="106" t="str">
        <f>IF(E121="Complies","Pass",IF(E121="Not part of software","Software Doesn't Check","Fail"))</f>
        <v>Fail</v>
      </c>
      <c r="H121" s="9">
        <f t="shared" si="5"/>
        <v>1</v>
      </c>
    </row>
    <row r="122" spans="2:8" ht="15.75" thickBot="1" x14ac:dyDescent="0.3">
      <c r="B122" s="249" t="str">
        <f>D_T03!B25</f>
        <v>Cooling – heat pump</v>
      </c>
      <c r="C122" s="107"/>
      <c r="D122" s="107"/>
      <c r="E122" s="113"/>
      <c r="F122" s="106" t="str">
        <f>IF(E122="Complies","Pass",IF(E122="Not part of software","Software Doesn't Check","Fail"))</f>
        <v>Fail</v>
      </c>
      <c r="H122" s="9">
        <f t="shared" si="5"/>
        <v>1</v>
      </c>
    </row>
    <row r="123" spans="2:8" ht="15.75" thickBot="1" x14ac:dyDescent="0.3">
      <c r="B123" s="249" t="str">
        <f>D_T03!B26</f>
        <v>Ducts – supply in attic</v>
      </c>
      <c r="C123" s="107"/>
      <c r="D123" s="107"/>
      <c r="E123" s="113"/>
      <c r="F123" s="106" t="str">
        <f>IF(E123="Complies","Pass",IF(E123="Not part of software","Software Doesn't Check","Fail"))</f>
        <v>Fail</v>
      </c>
      <c r="H123" s="9">
        <f t="shared" si="5"/>
        <v>1</v>
      </c>
    </row>
    <row r="124" spans="2:8" ht="15.75" thickBot="1" x14ac:dyDescent="0.3">
      <c r="B124" s="249" t="str">
        <f>D_T03!B27</f>
        <v>Ducts – Return in Conditioned Space</v>
      </c>
      <c r="C124" s="107"/>
      <c r="D124" s="107"/>
      <c r="E124" s="113"/>
      <c r="F124" s="106" t="str">
        <f t="shared" ref="F124:F132" si="6">IF(E124="Complies","Pass",IF(E124="Not part of software","Software Doesn't Check","Fail"))</f>
        <v>Fail</v>
      </c>
      <c r="H124" s="9">
        <f t="shared" si="5"/>
        <v>1</v>
      </c>
    </row>
    <row r="125" spans="2:8" thickBot="1" x14ac:dyDescent="0.35">
      <c r="B125" s="249" t="str">
        <f>D_T03!B28</f>
        <v>Duct Tightness</v>
      </c>
      <c r="C125" s="107"/>
      <c r="D125" s="107"/>
      <c r="E125" s="113"/>
      <c r="F125" s="106" t="str">
        <f t="shared" si="6"/>
        <v>Fail</v>
      </c>
      <c r="H125" s="9">
        <f t="shared" si="5"/>
        <v>1</v>
      </c>
    </row>
    <row r="126" spans="2:8" ht="15.75" thickBot="1" x14ac:dyDescent="0.3">
      <c r="B126" s="249" t="str">
        <f>D_T03!B29</f>
        <v>Air Handler – in Conditioned Space</v>
      </c>
      <c r="C126" s="107"/>
      <c r="D126" s="107"/>
      <c r="E126" s="113"/>
      <c r="F126" s="106" t="str">
        <f t="shared" si="6"/>
        <v>Fail</v>
      </c>
      <c r="H126" s="9">
        <f t="shared" si="5"/>
        <v>1</v>
      </c>
    </row>
    <row r="127" spans="2:8" thickBot="1" x14ac:dyDescent="0.35">
      <c r="B127" s="249" t="str">
        <f>D_T03!B30</f>
        <v>Mechanical Ventilation</v>
      </c>
      <c r="C127" s="107"/>
      <c r="D127" s="107"/>
      <c r="E127" s="104"/>
      <c r="F127" s="106" t="str">
        <f t="shared" si="6"/>
        <v>Fail</v>
      </c>
      <c r="H127" s="9">
        <f t="shared" si="5"/>
        <v>1</v>
      </c>
    </row>
    <row r="128" spans="2:8" thickBot="1" x14ac:dyDescent="0.35">
      <c r="B128" s="249" t="str">
        <f>D_T03!B31</f>
        <v>Hot Water System - electric</v>
      </c>
      <c r="C128" s="107"/>
      <c r="D128" s="107"/>
      <c r="E128" s="113"/>
      <c r="F128" s="106" t="str">
        <f t="shared" si="6"/>
        <v>Fail</v>
      </c>
      <c r="H128" s="9">
        <f t="shared" si="5"/>
        <v>1</v>
      </c>
    </row>
    <row r="129" spans="1:8" thickBot="1" x14ac:dyDescent="0.35">
      <c r="B129" s="249" t="str">
        <f>D_T03!B32</f>
        <v>All Hot Water Lines</v>
      </c>
      <c r="C129" s="107"/>
      <c r="D129" s="107"/>
      <c r="E129" s="113"/>
      <c r="F129" s="106" t="str">
        <f t="shared" si="6"/>
        <v>Fail</v>
      </c>
      <c r="H129" s="9">
        <f t="shared" si="5"/>
        <v>1</v>
      </c>
    </row>
    <row r="130" spans="1:8" thickBot="1" x14ac:dyDescent="0.35">
      <c r="B130" s="249" t="str">
        <f>D_T03!B33</f>
        <v>Hot Water Circulation -none</v>
      </c>
      <c r="C130" s="107"/>
      <c r="D130" s="107"/>
      <c r="E130" s="113"/>
      <c r="F130" s="106" t="str">
        <f t="shared" si="6"/>
        <v>Fail</v>
      </c>
      <c r="H130" s="9">
        <f t="shared" si="5"/>
        <v>1</v>
      </c>
    </row>
    <row r="131" spans="1:8" thickBot="1" x14ac:dyDescent="0.35">
      <c r="B131" s="249" t="str">
        <f>D_T03!B34</f>
        <v>Lighting</v>
      </c>
      <c r="C131" s="107"/>
      <c r="D131" s="107"/>
      <c r="E131" s="113"/>
      <c r="F131" s="106" t="str">
        <f t="shared" si="6"/>
        <v>Fail</v>
      </c>
      <c r="H131" s="9">
        <f t="shared" si="5"/>
        <v>1</v>
      </c>
    </row>
    <row r="132" spans="1:8" thickBot="1" x14ac:dyDescent="0.35">
      <c r="B132" s="249" t="str">
        <f>D_T03!B35</f>
        <v>Pool and Spa - none</v>
      </c>
      <c r="C132" s="107"/>
      <c r="D132" s="107"/>
      <c r="E132" s="113"/>
      <c r="F132" s="106" t="str">
        <f t="shared" si="6"/>
        <v>Fail</v>
      </c>
      <c r="H132" s="9">
        <f t="shared" si="5"/>
        <v>1</v>
      </c>
    </row>
    <row r="133" spans="1:8" thickBot="1" x14ac:dyDescent="0.35">
      <c r="B133" s="250" t="str">
        <f>D_T03!B38</f>
        <v>Area Weighted Fenestration U-Factor Value</v>
      </c>
      <c r="C133" s="107"/>
      <c r="D133" s="107"/>
      <c r="E133" s="111"/>
      <c r="F133" s="106" t="s">
        <v>63</v>
      </c>
      <c r="H133" s="9">
        <f t="shared" si="5"/>
        <v>0</v>
      </c>
    </row>
    <row r="134" spans="1:8" thickBot="1" x14ac:dyDescent="0.35">
      <c r="B134" s="250" t="str">
        <f>D_T03!B39</f>
        <v>Area Weighted Fenestration SHGC Value</v>
      </c>
      <c r="C134" s="107"/>
      <c r="D134" s="107"/>
      <c r="E134" s="104"/>
      <c r="F134" s="106" t="str">
        <f>IF(E134&gt;UA_T03!S27,IF(E134&lt;=UA_T03!S28,"Pass","Fail"),"Fail")</f>
        <v>Fail</v>
      </c>
      <c r="H134" s="9">
        <f t="shared" si="5"/>
        <v>1</v>
      </c>
    </row>
    <row r="135" spans="1:8" thickBot="1" x14ac:dyDescent="0.35">
      <c r="B135" s="250" t="str">
        <f>D_T03!B40</f>
        <v>Total Thermal Envelope UA Value</v>
      </c>
      <c r="C135" s="107"/>
      <c r="D135" s="107"/>
      <c r="E135" s="104"/>
      <c r="F135" s="106" t="str">
        <f>IF(E135&gt;=UA_T03!H27,IF(E135&lt;=UA_T03!H28,"Pass","Fail"),"Fail")</f>
        <v>Fail</v>
      </c>
      <c r="H135" s="9">
        <f t="shared" si="5"/>
        <v>1</v>
      </c>
    </row>
    <row r="136" spans="1:8" thickBot="1" x14ac:dyDescent="0.35">
      <c r="B136" s="250" t="str">
        <f>D_T03!B41</f>
        <v>Area Weighted Fenestration U-Factor Result</v>
      </c>
      <c r="C136" s="107"/>
      <c r="D136" s="107"/>
      <c r="E136" s="111"/>
      <c r="F136" s="106" t="s">
        <v>63</v>
      </c>
      <c r="H136" s="9">
        <f t="shared" si="5"/>
        <v>0</v>
      </c>
    </row>
    <row r="137" spans="1:8" thickBot="1" x14ac:dyDescent="0.35">
      <c r="B137" s="250" t="str">
        <f>D_T03!B42</f>
        <v>Area Weighted Fenestration SHGC Result</v>
      </c>
      <c r="C137" s="107"/>
      <c r="D137" s="107"/>
      <c r="E137" s="104"/>
      <c r="F137" s="106" t="str">
        <f>IF(E137="Average SHGC too high","Pass","Fail")</f>
        <v>Fail</v>
      </c>
      <c r="H137" s="9">
        <f t="shared" si="5"/>
        <v>1</v>
      </c>
    </row>
    <row r="138" spans="1:8" ht="18" customHeight="1" thickBot="1" x14ac:dyDescent="0.35">
      <c r="B138" s="250" t="str">
        <f>D_T03!B43</f>
        <v>Baseline Thermal Envelope UA Value</v>
      </c>
      <c r="C138" s="107"/>
      <c r="D138" s="107"/>
      <c r="E138" s="104"/>
      <c r="F138" s="106" t="str">
        <f>IF(E138&gt;=UA_T03!J27,IF(E138&lt;=UA_T03!J28,"Pass","Fail"),"Fail")</f>
        <v>Fail</v>
      </c>
      <c r="H138" s="9">
        <f t="shared" si="5"/>
        <v>1</v>
      </c>
    </row>
    <row r="139" spans="1:8" thickBot="1" x14ac:dyDescent="0.35">
      <c r="B139" s="250" t="str">
        <f>D_T03!B44</f>
        <v>Total Thermal Envelope UA Result</v>
      </c>
      <c r="C139" s="107"/>
      <c r="D139" s="107"/>
      <c r="E139" s="104"/>
      <c r="F139" s="106" t="str">
        <f>IF(E139="Complies","Pass","Fail")</f>
        <v>Fail</v>
      </c>
      <c r="H139" s="9">
        <f t="shared" si="5"/>
        <v>1</v>
      </c>
    </row>
    <row r="140" spans="1:8" thickBot="1" x14ac:dyDescent="0.35">
      <c r="B140" s="250" t="str">
        <f>D_T03!B45</f>
        <v>House Complies?</v>
      </c>
      <c r="C140" s="107"/>
      <c r="D140" s="107"/>
      <c r="E140" s="104"/>
      <c r="F140" s="106" t="str">
        <f>IF(E140="No","Pass","Fail")</f>
        <v>Fail</v>
      </c>
      <c r="H140" s="9">
        <f t="shared" si="5"/>
        <v>1</v>
      </c>
    </row>
    <row r="141" spans="1:8" ht="21.6" customHeight="1" x14ac:dyDescent="0.5">
      <c r="E141" s="15" t="s">
        <v>85</v>
      </c>
      <c r="F141" s="16" t="str">
        <f>IF(H141&gt;0,"FAIL","PASS")</f>
        <v>FAIL</v>
      </c>
      <c r="H141" s="258">
        <f xml:space="preserve"> SUM(H105:H140)</f>
        <v>20</v>
      </c>
    </row>
    <row r="142" spans="1:8" ht="8.4499999999999993" customHeight="1" x14ac:dyDescent="0.3">
      <c r="A142" s="14"/>
      <c r="B142" s="14"/>
      <c r="C142" s="14"/>
      <c r="D142" s="14"/>
      <c r="E142" s="14"/>
      <c r="F142" s="14"/>
      <c r="G142" s="14"/>
    </row>
  </sheetData>
  <sheetProtection password="BDDF" sheet="1" objects="1" scenarios="1"/>
  <mergeCells count="3">
    <mergeCell ref="D3:E3"/>
    <mergeCell ref="D52:E52"/>
    <mergeCell ref="D99:E99"/>
  </mergeCells>
  <dataValidations count="28">
    <dataValidation type="list" allowBlank="1" showInputMessage="1" showErrorMessage="1" sqref="C11 E58">
      <formula1>Floor</formula1>
    </dataValidation>
    <dataValidation type="list" allowBlank="1" showInputMessage="1" showErrorMessage="1" sqref="C12 E59">
      <formula1>Roof</formula1>
    </dataValidation>
    <dataValidation type="list" allowBlank="1" showInputMessage="1" showErrorMessage="1" sqref="C13 E60">
      <formula1>Ceiling</formula1>
    </dataValidation>
    <dataValidation type="list" allowBlank="1" showInputMessage="1" showErrorMessage="1" sqref="C14 C61 E61 C108 E108">
      <formula1>Skylight</formula1>
    </dataValidation>
    <dataValidation type="list" allowBlank="1" showInputMessage="1" showErrorMessage="1" sqref="C16 C110 E63">
      <formula1>Door</formula1>
    </dataValidation>
    <dataValidation type="list" allowBlank="1" showInputMessage="1" showErrorMessage="1" sqref="C17 C19 C21 C23 C25 E68 E64 C113 E66 E119 E113 E110:E111 E115 E117 E70 C115 E72 C117 C119 C111">
      <formula1>Window</formula1>
    </dataValidation>
    <dataValidation type="list" allowBlank="1" showInputMessage="1" showErrorMessage="1" sqref="C26 E73 E120">
      <formula1>Infiltration</formula1>
    </dataValidation>
    <dataValidation type="list" allowBlank="1" showInputMessage="1" showErrorMessage="1" sqref="C27 E74 E121">
      <formula1>Heating</formula1>
    </dataValidation>
    <dataValidation type="list" allowBlank="1" showInputMessage="1" showErrorMessage="1" sqref="C28 E75 E122">
      <formula1>Cooling</formula1>
    </dataValidation>
    <dataValidation type="list" allowBlank="1" showInputMessage="1" showErrorMessage="1" sqref="C29 E76 E123">
      <formula1>SupplyDucts</formula1>
    </dataValidation>
    <dataValidation type="list" allowBlank="1" showInputMessage="1" showErrorMessage="1" sqref="C30 E77 E124">
      <formula1>ReturnDucts</formula1>
    </dataValidation>
    <dataValidation type="list" allowBlank="1" showInputMessage="1" showErrorMessage="1" sqref="C31 E78 E125">
      <formula1>DuctTightness</formula1>
    </dataValidation>
    <dataValidation type="list" allowBlank="1" showInputMessage="1" showErrorMessage="1" sqref="C32 E79 E126">
      <formula1>AirHandler</formula1>
    </dataValidation>
    <dataValidation type="list" allowBlank="1" showInputMessage="1" showErrorMessage="1" sqref="C34 E81 E128">
      <formula1>HotWaterSystem</formula1>
    </dataValidation>
    <dataValidation type="list" allowBlank="1" showInputMessage="1" showErrorMessage="1" sqref="C35 E82 E129">
      <formula1>HotWaterLines</formula1>
    </dataValidation>
    <dataValidation type="list" allowBlank="1" showInputMessage="1" showErrorMessage="1" sqref="C36 E83 E130">
      <formula1>HotWaterCirculation</formula1>
    </dataValidation>
    <dataValidation type="list" allowBlank="1" showInputMessage="1" showErrorMessage="1" sqref="C37 E84 E131">
      <formula1>Lighting</formula1>
    </dataValidation>
    <dataValidation type="list" allowBlank="1" showInputMessage="1" showErrorMessage="1" sqref="C38 E85 E132">
      <formula1>PoolandSpa</formula1>
    </dataValidation>
    <dataValidation type="list" allowBlank="1" showInputMessage="1" showErrorMessage="1" sqref="C15 C18 C20 C22 C24 E71 E62 E65 E69 E67">
      <formula1>Wall</formula1>
    </dataValidation>
    <dataValidation type="decimal" allowBlank="1" showInputMessage="1" showErrorMessage="1" sqref="C39 D72 D61 D110:D111 D63:D64 D66 D68 D113 D115 D117 D108 D70 D119">
      <formula1>0</formula1>
      <formula2>2</formula2>
    </dataValidation>
    <dataValidation type="decimal" allowBlank="1" showInputMessage="1" showErrorMessage="1" sqref="D107 D65 D60 D62 C40 D109 D112 D118 D116 D114 D71 D69 D67">
      <formula1>0</formula1>
      <formula2>1</formula2>
    </dataValidation>
    <dataValidation type="list" allowBlank="1" showInputMessage="1" showErrorMessage="1" sqref="C42 E89">
      <formula1>OverallFenU</formula1>
    </dataValidation>
    <dataValidation type="list" allowBlank="1" showInputMessage="1" showErrorMessage="1" sqref="C43 E90 E137">
      <formula1>OverallFenSHGC</formula1>
    </dataValidation>
    <dataValidation type="list" allowBlank="1" showInputMessage="1" showErrorMessage="1" sqref="C41 C44:C45 E139">
      <formula1>TotalUA</formula1>
    </dataValidation>
    <dataValidation type="decimal" allowBlank="1" showInputMessage="1" showErrorMessage="1" sqref="D135 D138">
      <formula1>0</formula1>
      <formula2>1000</formula2>
    </dataValidation>
    <dataValidation type="list" allowBlank="1" showInputMessage="1" showErrorMessage="1" sqref="C60 C107 C109 C112 C114 C116 C118 C62 C65 C67 C69 C71">
      <formula1>UCalcMethod</formula1>
    </dataValidation>
    <dataValidation type="list" allowBlank="1" showInputMessage="1" showErrorMessage="1" sqref="E93 C46 E140">
      <formula1>Complies</formula1>
    </dataValidation>
    <dataValidation type="list" allowBlank="1" showInputMessage="1" showErrorMessage="1" sqref="E127 E80 C33">
      <formula1>MechanicalVent</formula1>
    </dataValidation>
  </dataValidations>
  <pageMargins left="0.7" right="0.7" top="0.75" bottom="0.75" header="0.3" footer="0.3"/>
  <pageSetup scale="66" orientation="portrait" r:id="rId1"/>
  <rowBreaks count="2" manualBreakCount="2">
    <brk id="48" max="5" man="1"/>
    <brk id="9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T92"/>
  <sheetViews>
    <sheetView zoomScaleNormal="100" zoomScaleSheetLayoutView="40" workbookViewId="0">
      <selection activeCell="F34" sqref="F34"/>
    </sheetView>
  </sheetViews>
  <sheetFormatPr defaultColWidth="9.140625" defaultRowHeight="15" x14ac:dyDescent="0.25"/>
  <cols>
    <col min="1" max="1" width="4.5703125" style="307" customWidth="1"/>
    <col min="2" max="2" width="8.28515625" style="307" customWidth="1"/>
    <col min="3" max="3" width="49.85546875" style="307" customWidth="1"/>
    <col min="4" max="5" width="12.7109375" style="307" customWidth="1"/>
    <col min="6" max="6" width="13.28515625" style="307" customWidth="1"/>
    <col min="7" max="7" width="11.5703125" style="307" customWidth="1"/>
    <col min="8" max="8" width="11.28515625" style="307" customWidth="1"/>
    <col min="9" max="10" width="11.140625" style="307" customWidth="1"/>
    <col min="11" max="11" width="12" style="307" customWidth="1"/>
    <col min="12" max="12" width="12.5703125" style="307" customWidth="1"/>
    <col min="13" max="13" width="10.5703125" style="307" customWidth="1"/>
    <col min="14" max="14" width="12" style="307" customWidth="1"/>
    <col min="15" max="15" width="10.140625" style="307" customWidth="1"/>
    <col min="16" max="20" width="12" style="307" customWidth="1"/>
    <col min="21" max="16384" width="9.140625" style="307"/>
  </cols>
  <sheetData>
    <row r="2" spans="2:20" ht="14.45" x14ac:dyDescent="0.3">
      <c r="B2" s="453" t="str">
        <f>D_T03!B2</f>
        <v xml:space="preserve">Prescriptive Test: House T03 (Pr-T03) Characteristics – Location: Tampa, Florida. </v>
      </c>
      <c r="C2" s="453"/>
      <c r="D2" s="453"/>
      <c r="E2" s="453"/>
      <c r="F2" s="454"/>
    </row>
    <row r="3" spans="2:20" ht="14.45" x14ac:dyDescent="0.3">
      <c r="B3" s="453" t="str">
        <f>D_T03!B3</f>
        <v>Single Family Detached Home with No Attached Garage, Single Story, Three bedroom.</v>
      </c>
      <c r="C3" s="453"/>
      <c r="D3" s="453"/>
      <c r="E3" s="453"/>
      <c r="F3" s="454"/>
    </row>
    <row r="4" spans="2:20" ht="14.45" x14ac:dyDescent="0.3">
      <c r="E4" s="263"/>
    </row>
    <row r="5" spans="2:20" ht="18.75" customHeight="1" x14ac:dyDescent="0.3">
      <c r="B5" s="328" t="s">
        <v>414</v>
      </c>
      <c r="C5" s="328"/>
      <c r="D5" s="328"/>
      <c r="E5" s="328"/>
      <c r="F5" s="328"/>
      <c r="G5" s="328"/>
      <c r="H5" s="328"/>
      <c r="I5" s="328"/>
      <c r="J5" s="328"/>
      <c r="K5" s="477" t="str">
        <f>Selections!K18</f>
        <v>Fenestration Area</v>
      </c>
      <c r="L5" s="478"/>
      <c r="M5" s="479" t="str">
        <f>Selections!M18</f>
        <v>Rvalue Method</v>
      </c>
      <c r="N5" s="478"/>
      <c r="O5" s="479" t="str">
        <f>Selections!O18</f>
        <v>Uvalue Method</v>
      </c>
      <c r="P5" s="478"/>
      <c r="Q5" s="479" t="str">
        <f>Selections!Q18</f>
        <v>Rvalue Method</v>
      </c>
      <c r="R5" s="478"/>
      <c r="S5" s="479" t="str">
        <f>Selections!S18</f>
        <v>Uvalue Method</v>
      </c>
      <c r="T5" s="478"/>
    </row>
    <row r="6" spans="2:20" ht="48" customHeight="1" x14ac:dyDescent="0.3">
      <c r="B6" s="228"/>
      <c r="C6" s="229"/>
      <c r="D6" s="470" t="str">
        <f>Selections!D19</f>
        <v>Envelope Geometry (Area)</v>
      </c>
      <c r="E6" s="471"/>
      <c r="F6" s="472"/>
      <c r="G6" s="473" t="str">
        <f>Selections!G19</f>
        <v>Proposed Home</v>
      </c>
      <c r="H6" s="474"/>
      <c r="I6" s="473" t="str">
        <f>Selections!I19</f>
        <v>Reference Home</v>
      </c>
      <c r="J6" s="474"/>
      <c r="K6" s="475" t="str">
        <f>Selections!K19</f>
        <v>Compliance Method Fenestration Area</v>
      </c>
      <c r="L6" s="476"/>
      <c r="M6" s="475" t="str">
        <f>Selections!M19</f>
        <v>Window Area Weighted Avg Proposed U-Factor</v>
      </c>
      <c r="N6" s="476"/>
      <c r="O6" s="475" t="str">
        <f>Selections!O19</f>
        <v>Window Area Weighted Avg Proposed U-Factor</v>
      </c>
      <c r="P6" s="476"/>
      <c r="Q6" s="475" t="str">
        <f>Selections!Q19</f>
        <v>Window Area Weighted Avg Proposed SHGC</v>
      </c>
      <c r="R6" s="476"/>
      <c r="S6" s="475" t="str">
        <f>Selections!S19</f>
        <v>Window Area Weighted Avg Proposed SHGC</v>
      </c>
      <c r="T6" s="476"/>
    </row>
    <row r="7" spans="2:20" ht="39.75" customHeight="1" thickBot="1" x14ac:dyDescent="0.35">
      <c r="B7" s="233"/>
      <c r="C7" s="234" t="str">
        <f>Selections!C20</f>
        <v>Envelope Name</v>
      </c>
      <c r="D7" s="235" t="str">
        <f>Selections!D20</f>
        <v>Envelope Type</v>
      </c>
      <c r="E7" s="235" t="str">
        <f>Selections!E20</f>
        <v>Gross Area</v>
      </c>
      <c r="F7" s="235" t="str">
        <f>Selections!F20</f>
        <v>Net Area</v>
      </c>
      <c r="G7" s="236" t="str">
        <f>Selections!G20</f>
        <v>U-Factor Proposed</v>
      </c>
      <c r="H7" s="237" t="str">
        <f>Selections!H20</f>
        <v>UA-Value Proposed</v>
      </c>
      <c r="I7" s="235" t="str">
        <f>Selections!I20</f>
        <v>U-Factor Reference</v>
      </c>
      <c r="J7" s="237" t="str">
        <f>Selections!J20</f>
        <v>UA-Value Reference</v>
      </c>
      <c r="K7" s="238" t="str">
        <f>Selections!K20</f>
        <v>R-Value Method</v>
      </c>
      <c r="L7" s="238" t="str">
        <f>Selections!L20</f>
        <v>U-Factor Method</v>
      </c>
      <c r="M7" s="238" t="str">
        <f>Selections!M20</f>
        <v>U-Factor</v>
      </c>
      <c r="N7" s="238" t="str">
        <f>Selections!N20</f>
        <v>UA-Value</v>
      </c>
      <c r="O7" s="238" t="str">
        <f>Selections!O20</f>
        <v>U-Factor</v>
      </c>
      <c r="P7" s="238" t="str">
        <f>Selections!P20</f>
        <v>UA-Value</v>
      </c>
      <c r="Q7" s="238" t="str">
        <f>Selections!Q20</f>
        <v>SHGC</v>
      </c>
      <c r="R7" s="238" t="str">
        <f>Selections!R20</f>
        <v>SHGC x Area</v>
      </c>
      <c r="S7" s="238" t="str">
        <f>Selections!S20</f>
        <v>SHGC</v>
      </c>
      <c r="T7" s="238" t="str">
        <f>Selections!T20</f>
        <v>SHGC x Area</v>
      </c>
    </row>
    <row r="8" spans="2:20" ht="15" customHeight="1" thickTop="1" x14ac:dyDescent="0.3">
      <c r="B8" s="305">
        <v>1</v>
      </c>
      <c r="C8" s="225" t="str">
        <f>D_T03!B8</f>
        <v>Slab-on-grade Floor</v>
      </c>
      <c r="D8" s="39" t="s">
        <v>30</v>
      </c>
      <c r="E8" s="40"/>
      <c r="F8" s="41"/>
      <c r="G8" s="42"/>
      <c r="H8" s="41"/>
      <c r="I8" s="289"/>
      <c r="J8" s="289"/>
      <c r="K8" s="39"/>
      <c r="L8" s="41"/>
      <c r="M8" s="40"/>
      <c r="N8" s="41"/>
      <c r="O8" s="44"/>
      <c r="P8" s="41"/>
      <c r="Q8" s="44"/>
      <c r="R8" s="41"/>
      <c r="S8" s="44"/>
      <c r="T8" s="41"/>
    </row>
    <row r="9" spans="2:20" ht="15" customHeight="1" x14ac:dyDescent="0.3">
      <c r="B9" s="264">
        <v>2</v>
      </c>
      <c r="C9" s="226" t="str">
        <f>D_T03!B9</f>
        <v>Roof – gable type- 5 in 12 slope No overhangs</v>
      </c>
      <c r="D9" s="47" t="s">
        <v>33</v>
      </c>
      <c r="E9" s="265"/>
      <c r="F9" s="49"/>
      <c r="G9" s="47"/>
      <c r="H9" s="49"/>
      <c r="I9" s="265"/>
      <c r="J9" s="265"/>
      <c r="K9" s="47"/>
      <c r="L9" s="49"/>
      <c r="M9" s="265"/>
      <c r="N9" s="49"/>
      <c r="O9" s="264"/>
      <c r="P9" s="49"/>
      <c r="Q9" s="264"/>
      <c r="R9" s="49"/>
      <c r="S9" s="264"/>
      <c r="T9" s="49"/>
    </row>
    <row r="10" spans="2:20" ht="15" customHeight="1" x14ac:dyDescent="0.3">
      <c r="B10" s="264">
        <v>3</v>
      </c>
      <c r="C10" s="226" t="str">
        <f>D_T03!B10</f>
        <v>Ceiling1 –flat under attic</v>
      </c>
      <c r="D10" s="47" t="s">
        <v>34</v>
      </c>
      <c r="E10" s="135">
        <f>D_T03!G10</f>
        <v>2000</v>
      </c>
      <c r="F10" s="207">
        <f>E10-E11</f>
        <v>1990</v>
      </c>
      <c r="G10" s="208">
        <f>D53</f>
        <v>4.0086964730314936E-2</v>
      </c>
      <c r="H10" s="204">
        <f t="shared" ref="H10:H22" si="0">$G10*$F10</f>
        <v>79.773059813326725</v>
      </c>
      <c r="I10" s="138">
        <f>D35</f>
        <v>0.03</v>
      </c>
      <c r="J10" s="125">
        <f t="shared" ref="J10:J22" si="1">$I10*$F10</f>
        <v>59.699999999999996</v>
      </c>
      <c r="K10" s="51"/>
      <c r="L10" s="50"/>
      <c r="M10" s="265"/>
      <c r="N10" s="49"/>
      <c r="O10" s="264"/>
      <c r="P10" s="49"/>
      <c r="Q10" s="264"/>
      <c r="R10" s="49"/>
      <c r="S10" s="264"/>
      <c r="T10" s="49"/>
    </row>
    <row r="11" spans="2:20" ht="15" customHeight="1" x14ac:dyDescent="0.3">
      <c r="B11" s="264">
        <v>4</v>
      </c>
      <c r="C11" s="226" t="str">
        <f>D_T03!B11</f>
        <v xml:space="preserve">        Skylight</v>
      </c>
      <c r="D11" s="47" t="s">
        <v>35</v>
      </c>
      <c r="E11" s="135">
        <f>D_T03!G11</f>
        <v>10</v>
      </c>
      <c r="F11" s="207">
        <f>E11</f>
        <v>10</v>
      </c>
      <c r="G11" s="208">
        <f>D_T03!E11</f>
        <v>0.65</v>
      </c>
      <c r="H11" s="204">
        <f t="shared" si="0"/>
        <v>6.5</v>
      </c>
      <c r="I11" s="138">
        <f>D37</f>
        <v>0.65</v>
      </c>
      <c r="J11" s="125">
        <f t="shared" si="1"/>
        <v>6.5</v>
      </c>
      <c r="K11" s="203">
        <f>E11</f>
        <v>10</v>
      </c>
      <c r="L11" s="204">
        <f>E11</f>
        <v>10</v>
      </c>
      <c r="M11" s="138">
        <f>$G11</f>
        <v>0.65</v>
      </c>
      <c r="N11" s="204">
        <f>K11*M11</f>
        <v>6.5</v>
      </c>
      <c r="O11" s="341">
        <f>$G11</f>
        <v>0.65</v>
      </c>
      <c r="P11" s="204">
        <f>O11*L11</f>
        <v>6.5</v>
      </c>
      <c r="Q11" s="341">
        <f>D_T03!F11</f>
        <v>0.25</v>
      </c>
      <c r="R11" s="204">
        <f>K11*Q11</f>
        <v>2.5</v>
      </c>
      <c r="S11" s="341">
        <f>$Q11</f>
        <v>0.25</v>
      </c>
      <c r="T11" s="204">
        <f>S11*L11</f>
        <v>2.5</v>
      </c>
    </row>
    <row r="12" spans="2:20" ht="15" customHeight="1" x14ac:dyDescent="0.3">
      <c r="B12" s="264">
        <v>5</v>
      </c>
      <c r="C12" s="226" t="str">
        <f>D_T03!B12</f>
        <v>Wall 1 –faces North, Wood Frame2</v>
      </c>
      <c r="D12" s="47" t="s">
        <v>36</v>
      </c>
      <c r="E12" s="135">
        <f>D_T03!G12</f>
        <v>500</v>
      </c>
      <c r="F12" s="207">
        <f>E12-E13-E14</f>
        <v>401</v>
      </c>
      <c r="G12" s="208">
        <f>D72</f>
        <v>5.7978201719387987E-2</v>
      </c>
      <c r="H12" s="204">
        <f>$G12*$F12</f>
        <v>23.249258889474582</v>
      </c>
      <c r="I12" s="138">
        <f>D36</f>
        <v>8.2000000000000003E-2</v>
      </c>
      <c r="J12" s="125">
        <f t="shared" si="1"/>
        <v>32.881999999999998</v>
      </c>
      <c r="K12" s="203"/>
      <c r="L12" s="204"/>
      <c r="M12" s="135"/>
      <c r="N12" s="205"/>
      <c r="O12" s="340"/>
      <c r="P12" s="205"/>
      <c r="Q12" s="340"/>
      <c r="R12" s="205"/>
      <c r="S12" s="341"/>
      <c r="T12" s="205"/>
    </row>
    <row r="13" spans="2:20" ht="15" customHeight="1" x14ac:dyDescent="0.3">
      <c r="B13" s="264">
        <v>6</v>
      </c>
      <c r="C13" s="226" t="str">
        <f>D_T03!B13</f>
        <v xml:space="preserve">        Door 1 - </v>
      </c>
      <c r="D13" s="47" t="s">
        <v>38</v>
      </c>
      <c r="E13" s="135">
        <f>D_T03!G13</f>
        <v>24</v>
      </c>
      <c r="F13" s="207">
        <f>E13</f>
        <v>24</v>
      </c>
      <c r="G13" s="208">
        <f>D_T03!E13</f>
        <v>0.4</v>
      </c>
      <c r="H13" s="204">
        <f t="shared" si="0"/>
        <v>9.6000000000000014</v>
      </c>
      <c r="I13" s="138">
        <f>D38</f>
        <v>0.4</v>
      </c>
      <c r="J13" s="125">
        <f t="shared" si="1"/>
        <v>9.6000000000000014</v>
      </c>
      <c r="K13" s="203">
        <f>IF(E13&lt;=Selections!$C$32,0,E13)</f>
        <v>0</v>
      </c>
      <c r="L13" s="204">
        <f>E13</f>
        <v>24</v>
      </c>
      <c r="M13" s="135">
        <v>0</v>
      </c>
      <c r="N13" s="204">
        <f>K13*M13</f>
        <v>0</v>
      </c>
      <c r="O13" s="341">
        <f>$G13</f>
        <v>0.4</v>
      </c>
      <c r="P13" s="204">
        <f>O13*L13</f>
        <v>9.6000000000000014</v>
      </c>
      <c r="Q13" s="340">
        <f>D_T03!F13</f>
        <v>0</v>
      </c>
      <c r="R13" s="204">
        <f>K13*Q13</f>
        <v>0</v>
      </c>
      <c r="S13" s="140">
        <f t="shared" ref="S13:S22" si="2">$Q13</f>
        <v>0</v>
      </c>
      <c r="T13" s="204">
        <f>S13*L13</f>
        <v>0</v>
      </c>
    </row>
    <row r="14" spans="2:20" ht="15" customHeight="1" x14ac:dyDescent="0.3">
      <c r="B14" s="264">
        <v>7</v>
      </c>
      <c r="C14" s="226" t="str">
        <f>D_T03!B14</f>
        <v xml:space="preserve">        Window 1 – Vinyl Frame Low-e Double</v>
      </c>
      <c r="D14" s="47" t="s">
        <v>37</v>
      </c>
      <c r="E14" s="135">
        <f>D_T03!G14</f>
        <v>75</v>
      </c>
      <c r="F14" s="207">
        <f>E14</f>
        <v>75</v>
      </c>
      <c r="G14" s="208">
        <f>D_T03!E14</f>
        <v>0.35</v>
      </c>
      <c r="H14" s="204">
        <f t="shared" si="0"/>
        <v>26.25</v>
      </c>
      <c r="I14" s="138">
        <f>D39</f>
        <v>0.4</v>
      </c>
      <c r="J14" s="125">
        <f t="shared" si="1"/>
        <v>30</v>
      </c>
      <c r="K14" s="203">
        <f>IF(E14&lt;=Selections!$C$33,0,E14)</f>
        <v>75</v>
      </c>
      <c r="L14" s="204">
        <f>E14</f>
        <v>75</v>
      </c>
      <c r="M14" s="138">
        <f>$G14</f>
        <v>0.35</v>
      </c>
      <c r="N14" s="204">
        <f>K14*M14</f>
        <v>26.25</v>
      </c>
      <c r="O14" s="341">
        <f>$G14</f>
        <v>0.35</v>
      </c>
      <c r="P14" s="204">
        <f>O14*L14</f>
        <v>26.25</v>
      </c>
      <c r="Q14" s="341">
        <f>D_T03!F14</f>
        <v>0.25</v>
      </c>
      <c r="R14" s="204">
        <f>K14*Q14</f>
        <v>18.75</v>
      </c>
      <c r="S14" s="341">
        <f t="shared" si="2"/>
        <v>0.25</v>
      </c>
      <c r="T14" s="204">
        <f>S14*L14</f>
        <v>18.75</v>
      </c>
    </row>
    <row r="15" spans="2:20" ht="15" customHeight="1" x14ac:dyDescent="0.3">
      <c r="B15" s="264">
        <v>8</v>
      </c>
      <c r="C15" s="226" t="str">
        <f>D_T03!B15</f>
        <v>Wall 2 –faces East, Wood Frame</v>
      </c>
      <c r="D15" s="52" t="s">
        <v>36</v>
      </c>
      <c r="E15" s="135">
        <f>D_T03!G15</f>
        <v>400</v>
      </c>
      <c r="F15" s="207">
        <f>E15-E16</f>
        <v>325</v>
      </c>
      <c r="G15" s="208">
        <f>D72</f>
        <v>5.7978201719387987E-2</v>
      </c>
      <c r="H15" s="204">
        <f t="shared" si="0"/>
        <v>18.842915558801096</v>
      </c>
      <c r="I15" s="138">
        <f>D36</f>
        <v>8.2000000000000003E-2</v>
      </c>
      <c r="J15" s="125">
        <f t="shared" si="1"/>
        <v>26.650000000000002</v>
      </c>
      <c r="K15" s="203"/>
      <c r="L15" s="204"/>
      <c r="M15" s="135"/>
      <c r="N15" s="205"/>
      <c r="O15" s="340"/>
      <c r="P15" s="205"/>
      <c r="Q15" s="340"/>
      <c r="R15" s="205"/>
      <c r="S15" s="341"/>
      <c r="T15" s="205"/>
    </row>
    <row r="16" spans="2:20" ht="15" customHeight="1" x14ac:dyDescent="0.3">
      <c r="B16" s="264">
        <v>9</v>
      </c>
      <c r="C16" s="226" t="str">
        <f>D_T03!B16</f>
        <v xml:space="preserve">        Window 2 – Vinyl Frame Low-e Double</v>
      </c>
      <c r="D16" s="47" t="s">
        <v>37</v>
      </c>
      <c r="E16" s="135">
        <f>D_T03!G16</f>
        <v>75</v>
      </c>
      <c r="F16" s="207">
        <f>E16</f>
        <v>75</v>
      </c>
      <c r="G16" s="208">
        <f>D_T03!E16</f>
        <v>0.35</v>
      </c>
      <c r="H16" s="204">
        <f t="shared" si="0"/>
        <v>26.25</v>
      </c>
      <c r="I16" s="138">
        <f>D39</f>
        <v>0.4</v>
      </c>
      <c r="J16" s="125">
        <f t="shared" si="1"/>
        <v>30</v>
      </c>
      <c r="K16" s="203">
        <f>IF(E16&lt;=Selections!$C$33,0,E16)</f>
        <v>75</v>
      </c>
      <c r="L16" s="204">
        <f>E16</f>
        <v>75</v>
      </c>
      <c r="M16" s="138">
        <f>$G16</f>
        <v>0.35</v>
      </c>
      <c r="N16" s="204">
        <f>K16*M16</f>
        <v>26.25</v>
      </c>
      <c r="O16" s="341">
        <f>$G16</f>
        <v>0.35</v>
      </c>
      <c r="P16" s="204">
        <f>O16*L16</f>
        <v>26.25</v>
      </c>
      <c r="Q16" s="341">
        <f>D_T03!F16</f>
        <v>0.25</v>
      </c>
      <c r="R16" s="204">
        <f>K16*Q16</f>
        <v>18.75</v>
      </c>
      <c r="S16" s="341">
        <f t="shared" si="2"/>
        <v>0.25</v>
      </c>
      <c r="T16" s="204">
        <f>S16*L16</f>
        <v>18.75</v>
      </c>
    </row>
    <row r="17" spans="2:20" ht="15" customHeight="1" x14ac:dyDescent="0.3">
      <c r="B17" s="264">
        <v>10</v>
      </c>
      <c r="C17" s="226" t="str">
        <f>D_T03!B17</f>
        <v>Wall 3 –faces South, Wood Frame</v>
      </c>
      <c r="D17" s="47" t="s">
        <v>36</v>
      </c>
      <c r="E17" s="135">
        <f>D_T03!G17</f>
        <v>400</v>
      </c>
      <c r="F17" s="207">
        <f>E17-E18</f>
        <v>385</v>
      </c>
      <c r="G17" s="208">
        <f>D72</f>
        <v>5.7978201719387987E-2</v>
      </c>
      <c r="H17" s="204">
        <f t="shared" si="0"/>
        <v>22.321607661964375</v>
      </c>
      <c r="I17" s="138">
        <f>D36</f>
        <v>8.2000000000000003E-2</v>
      </c>
      <c r="J17" s="125">
        <f t="shared" si="1"/>
        <v>31.57</v>
      </c>
      <c r="K17" s="203"/>
      <c r="L17" s="204"/>
      <c r="M17" s="135"/>
      <c r="N17" s="205"/>
      <c r="O17" s="340"/>
      <c r="P17" s="205"/>
      <c r="Q17" s="340"/>
      <c r="R17" s="205"/>
      <c r="S17" s="341"/>
      <c r="T17" s="205"/>
    </row>
    <row r="18" spans="2:20" ht="15" customHeight="1" x14ac:dyDescent="0.3">
      <c r="B18" s="264">
        <v>11</v>
      </c>
      <c r="C18" s="226" t="str">
        <f>D_T03!B18</f>
        <v xml:space="preserve">        Window 3 – Metal Frame, Single Pane</v>
      </c>
      <c r="D18" s="47" t="s">
        <v>37</v>
      </c>
      <c r="E18" s="135">
        <f>D_T03!G18</f>
        <v>15</v>
      </c>
      <c r="F18" s="207">
        <f>E18</f>
        <v>15</v>
      </c>
      <c r="G18" s="208">
        <f>D_T03!E18</f>
        <v>1.2</v>
      </c>
      <c r="H18" s="204">
        <f t="shared" si="0"/>
        <v>18</v>
      </c>
      <c r="I18" s="138">
        <f>D39</f>
        <v>0.4</v>
      </c>
      <c r="J18" s="125">
        <f t="shared" si="1"/>
        <v>6</v>
      </c>
      <c r="K18" s="203">
        <f>IF(E18&lt;=Selections!$C$33,0,E18)</f>
        <v>0</v>
      </c>
      <c r="L18" s="204">
        <f>E18</f>
        <v>15</v>
      </c>
      <c r="M18" s="138">
        <f>$G18</f>
        <v>1.2</v>
      </c>
      <c r="N18" s="204">
        <f>K18*M18</f>
        <v>0</v>
      </c>
      <c r="O18" s="341">
        <f>$G18</f>
        <v>1.2</v>
      </c>
      <c r="P18" s="204">
        <f>O18*L18</f>
        <v>18</v>
      </c>
      <c r="Q18" s="341">
        <f>D_T03!F18</f>
        <v>0.8</v>
      </c>
      <c r="R18" s="204">
        <f>K18*Q18</f>
        <v>0</v>
      </c>
      <c r="S18" s="341">
        <f t="shared" si="2"/>
        <v>0.8</v>
      </c>
      <c r="T18" s="204">
        <f>S18*L18</f>
        <v>12</v>
      </c>
    </row>
    <row r="19" spans="2:20" ht="15" customHeight="1" x14ac:dyDescent="0.3">
      <c r="B19" s="264">
        <v>12</v>
      </c>
      <c r="C19" s="226" t="str">
        <f>D_T03!B19</f>
        <v xml:space="preserve">Wall 4 –faces South, Wood Frame </v>
      </c>
      <c r="D19" s="47" t="s">
        <v>36</v>
      </c>
      <c r="E19" s="135">
        <f>D_T03!G19</f>
        <v>100</v>
      </c>
      <c r="F19" s="207">
        <f>E19-E20</f>
        <v>40</v>
      </c>
      <c r="G19" s="208">
        <f>D72</f>
        <v>5.7978201719387987E-2</v>
      </c>
      <c r="H19" s="204">
        <f t="shared" si="0"/>
        <v>2.3191280687755196</v>
      </c>
      <c r="I19" s="138">
        <f>D36</f>
        <v>8.2000000000000003E-2</v>
      </c>
      <c r="J19" s="125">
        <f t="shared" si="1"/>
        <v>3.2800000000000002</v>
      </c>
      <c r="K19" s="203"/>
      <c r="L19" s="204"/>
      <c r="M19" s="135"/>
      <c r="N19" s="205"/>
      <c r="O19" s="340"/>
      <c r="P19" s="205"/>
      <c r="Q19" s="340"/>
      <c r="R19" s="205"/>
      <c r="S19" s="341"/>
      <c r="T19" s="205"/>
    </row>
    <row r="20" spans="2:20" ht="15" customHeight="1" x14ac:dyDescent="0.3">
      <c r="B20" s="264">
        <v>13</v>
      </c>
      <c r="C20" s="226" t="str">
        <f>D_T03!B20</f>
        <v xml:space="preserve">        Window 4 – Vinyl Frame  Low-e Double</v>
      </c>
      <c r="D20" s="47" t="s">
        <v>37</v>
      </c>
      <c r="E20" s="135">
        <f>D_T03!G20</f>
        <v>60</v>
      </c>
      <c r="F20" s="207">
        <f>E20</f>
        <v>60</v>
      </c>
      <c r="G20" s="208">
        <f>D_T03!E20</f>
        <v>0.35</v>
      </c>
      <c r="H20" s="204">
        <f t="shared" si="0"/>
        <v>21</v>
      </c>
      <c r="I20" s="138">
        <f>D39</f>
        <v>0.4</v>
      </c>
      <c r="J20" s="125">
        <f t="shared" si="1"/>
        <v>24</v>
      </c>
      <c r="K20" s="203">
        <f>IF(E20&lt;=Selections!$C$33,0,E20)</f>
        <v>60</v>
      </c>
      <c r="L20" s="204">
        <f>E20</f>
        <v>60</v>
      </c>
      <c r="M20" s="138">
        <f>$G20</f>
        <v>0.35</v>
      </c>
      <c r="N20" s="204">
        <f>K20*M20</f>
        <v>21</v>
      </c>
      <c r="O20" s="341">
        <f>$G20</f>
        <v>0.35</v>
      </c>
      <c r="P20" s="204">
        <f>O20*L20</f>
        <v>21</v>
      </c>
      <c r="Q20" s="341">
        <f>D_T03!F20</f>
        <v>0.25</v>
      </c>
      <c r="R20" s="204">
        <f>K20*Q20</f>
        <v>15</v>
      </c>
      <c r="S20" s="341">
        <f t="shared" si="2"/>
        <v>0.25</v>
      </c>
      <c r="T20" s="204">
        <f>S20*L20</f>
        <v>15</v>
      </c>
    </row>
    <row r="21" spans="2:20" ht="15" customHeight="1" x14ac:dyDescent="0.3">
      <c r="B21" s="264">
        <v>14</v>
      </c>
      <c r="C21" s="226" t="str">
        <f>D_T03!B21</f>
        <v>Wall 5 –faces West, Wood Frame</v>
      </c>
      <c r="D21" s="47" t="s">
        <v>36</v>
      </c>
      <c r="E21" s="135">
        <f>D_T03!G21</f>
        <v>400</v>
      </c>
      <c r="F21" s="207">
        <f>E21-E22</f>
        <v>325</v>
      </c>
      <c r="G21" s="208">
        <f>D72</f>
        <v>5.7978201719387987E-2</v>
      </c>
      <c r="H21" s="204">
        <f t="shared" si="0"/>
        <v>18.842915558801096</v>
      </c>
      <c r="I21" s="138">
        <f>D36</f>
        <v>8.2000000000000003E-2</v>
      </c>
      <c r="J21" s="125">
        <f t="shared" si="1"/>
        <v>26.650000000000002</v>
      </c>
      <c r="K21" s="203"/>
      <c r="L21" s="204"/>
      <c r="M21" s="135"/>
      <c r="N21" s="205"/>
      <c r="O21" s="340"/>
      <c r="P21" s="205"/>
      <c r="Q21" s="340"/>
      <c r="R21" s="205"/>
      <c r="S21" s="341"/>
      <c r="T21" s="205"/>
    </row>
    <row r="22" spans="2:20" ht="15" customHeight="1" x14ac:dyDescent="0.3">
      <c r="B22" s="277">
        <v>15</v>
      </c>
      <c r="C22" s="227" t="str">
        <f>D_T03!B22</f>
        <v xml:space="preserve">        Window 5 – Vinyl Frame Low-e Double</v>
      </c>
      <c r="D22" s="54" t="s">
        <v>37</v>
      </c>
      <c r="E22" s="209">
        <f>D_T03!G22</f>
        <v>75</v>
      </c>
      <c r="F22" s="210">
        <f>E22</f>
        <v>75</v>
      </c>
      <c r="G22" s="211">
        <f>D_T03!E22</f>
        <v>0.35</v>
      </c>
      <c r="H22" s="206">
        <f t="shared" si="0"/>
        <v>26.25</v>
      </c>
      <c r="I22" s="126">
        <f>D39</f>
        <v>0.4</v>
      </c>
      <c r="J22" s="212">
        <f t="shared" si="1"/>
        <v>30</v>
      </c>
      <c r="K22" s="203">
        <f>IF(E22&lt;=Selections!$C$33,0,E22)</f>
        <v>75</v>
      </c>
      <c r="L22" s="206">
        <f>E22</f>
        <v>75</v>
      </c>
      <c r="M22" s="138">
        <f>$G22</f>
        <v>0.35</v>
      </c>
      <c r="N22" s="204">
        <f>K22*M22</f>
        <v>26.25</v>
      </c>
      <c r="O22" s="341">
        <f>$G22</f>
        <v>0.35</v>
      </c>
      <c r="P22" s="204">
        <f>O22*L22</f>
        <v>26.25</v>
      </c>
      <c r="Q22" s="341">
        <f>D_T03!F22</f>
        <v>0.25</v>
      </c>
      <c r="R22" s="204">
        <f>K22*Q22</f>
        <v>18.75</v>
      </c>
      <c r="S22" s="341">
        <f t="shared" si="2"/>
        <v>0.25</v>
      </c>
      <c r="T22" s="204">
        <f>S22*L22</f>
        <v>18.75</v>
      </c>
    </row>
    <row r="23" spans="2:20" ht="3.75" customHeight="1" x14ac:dyDescent="0.3">
      <c r="B23" s="318"/>
      <c r="C23" s="279"/>
      <c r="D23" s="56"/>
      <c r="E23" s="319"/>
      <c r="F23" s="57"/>
      <c r="G23" s="56"/>
      <c r="H23" s="57"/>
      <c r="I23" s="319"/>
      <c r="J23" s="319"/>
      <c r="K23" s="56"/>
      <c r="L23" s="57"/>
      <c r="M23" s="332"/>
      <c r="N23" s="59"/>
      <c r="O23" s="279"/>
      <c r="P23" s="59"/>
      <c r="Q23" s="279"/>
      <c r="R23" s="59"/>
      <c r="S23" s="279"/>
      <c r="T23" s="59"/>
    </row>
    <row r="24" spans="2:20" ht="15.6" x14ac:dyDescent="0.3">
      <c r="B24" s="330"/>
      <c r="C24" s="331" t="s">
        <v>134</v>
      </c>
      <c r="D24" s="62"/>
      <c r="E24" s="332"/>
      <c r="F24" s="59"/>
      <c r="G24" s="62"/>
      <c r="H24" s="456">
        <f>SUM(H10:H22)</f>
        <v>299.19888555114341</v>
      </c>
      <c r="I24" s="463"/>
      <c r="J24" s="458">
        <f>SUM(J10:J22)</f>
        <v>316.83199999999999</v>
      </c>
      <c r="K24" s="459">
        <f>SUM(K10:K22)</f>
        <v>295</v>
      </c>
      <c r="L24" s="456">
        <f>SUM(L10:L22)</f>
        <v>334</v>
      </c>
      <c r="M24" s="460">
        <f>N24/K24</f>
        <v>0.36016949152542371</v>
      </c>
      <c r="N24" s="456">
        <f>SUM(N10:N22)</f>
        <v>106.25</v>
      </c>
      <c r="O24" s="461">
        <f>P24/L24</f>
        <v>0.40074850299401193</v>
      </c>
      <c r="P24" s="456">
        <f>SUM(P10:P22)</f>
        <v>133.85</v>
      </c>
      <c r="Q24" s="461">
        <f>R24/K24</f>
        <v>0.25</v>
      </c>
      <c r="R24" s="456">
        <f>SUM(R10:R22)</f>
        <v>73.75</v>
      </c>
      <c r="S24" s="461">
        <f>T24/(L24-L13)</f>
        <v>0.27661290322580645</v>
      </c>
      <c r="T24" s="456">
        <f>SUM(T10:T22)</f>
        <v>85.75</v>
      </c>
    </row>
    <row r="25" spans="2:20" ht="9.75" customHeight="1" x14ac:dyDescent="0.3">
      <c r="B25" s="337"/>
      <c r="C25" s="338"/>
      <c r="D25" s="65"/>
      <c r="E25" s="65"/>
      <c r="F25" s="65"/>
      <c r="G25" s="65"/>
      <c r="H25" s="66"/>
      <c r="I25" s="67"/>
      <c r="J25" s="66"/>
      <c r="K25" s="66"/>
      <c r="L25" s="66"/>
      <c r="M25" s="68"/>
      <c r="N25" s="66"/>
      <c r="O25" s="68"/>
      <c r="P25" s="66"/>
      <c r="Q25" s="68"/>
      <c r="R25" s="66"/>
      <c r="S25" s="68"/>
      <c r="T25" s="66"/>
    </row>
    <row r="26" spans="2:20" ht="45" customHeight="1" x14ac:dyDescent="0.3">
      <c r="B26" s="337"/>
      <c r="C26" s="214" t="str">
        <f>Selections!B25</f>
        <v>UA allowed deviation range in %</v>
      </c>
      <c r="D26" s="223">
        <f>Selections!C25</f>
        <v>0.02</v>
      </c>
      <c r="E26" s="322"/>
      <c r="G26" s="263" t="s">
        <v>136</v>
      </c>
      <c r="H26" s="146" t="s">
        <v>231</v>
      </c>
      <c r="J26" s="146" t="s">
        <v>230</v>
      </c>
      <c r="M26" s="146" t="s">
        <v>229</v>
      </c>
      <c r="N26" s="146" t="s">
        <v>231</v>
      </c>
      <c r="O26" s="146" t="s">
        <v>229</v>
      </c>
      <c r="P26" s="146" t="s">
        <v>231</v>
      </c>
      <c r="Q26" s="146" t="s">
        <v>232</v>
      </c>
      <c r="R26" s="146" t="s">
        <v>233</v>
      </c>
      <c r="S26" s="146" t="s">
        <v>232</v>
      </c>
      <c r="T26" s="146" t="s">
        <v>233</v>
      </c>
    </row>
    <row r="27" spans="2:20" ht="14.45" x14ac:dyDescent="0.3">
      <c r="C27" s="214" t="str">
        <f>Selections!B26</f>
        <v>U-Factor allowed deviation range absolute</v>
      </c>
      <c r="D27" s="224">
        <f>Selections!C26</f>
        <v>5.0000000000000001E-3</v>
      </c>
      <c r="G27" s="263" t="s">
        <v>138</v>
      </c>
      <c r="H27" s="213">
        <f>H24-(H24*$D$26)</f>
        <v>293.21490784012053</v>
      </c>
      <c r="J27" s="213">
        <f>J24-(J24*$D$26)</f>
        <v>310.49536000000001</v>
      </c>
      <c r="K27" s="214"/>
      <c r="L27" s="214"/>
      <c r="M27" s="215">
        <f>M$24-$D$27</f>
        <v>0.35516949152542371</v>
      </c>
      <c r="N27" s="216">
        <f>N$24-$D$26*N$24</f>
        <v>104.125</v>
      </c>
      <c r="O27" s="217">
        <f>O$24-$D$27</f>
        <v>0.39574850299401193</v>
      </c>
      <c r="P27" s="216">
        <f>P$24-$D$26*P$24</f>
        <v>131.173</v>
      </c>
      <c r="Q27" s="217">
        <f>Q$24-$D$28</f>
        <v>0.245</v>
      </c>
      <c r="R27" s="216">
        <f>R$24-$D$26*R$24</f>
        <v>72.275000000000006</v>
      </c>
      <c r="S27" s="217">
        <f>S$24-$D$28</f>
        <v>0.27161290322580645</v>
      </c>
      <c r="T27" s="216">
        <f>T$24-$D$26*T$24</f>
        <v>84.034999999999997</v>
      </c>
    </row>
    <row r="28" spans="2:20" ht="14.45" x14ac:dyDescent="0.3">
      <c r="C28" s="214" t="str">
        <f>Selections!B27</f>
        <v>SHGC allowed deviation range absolute</v>
      </c>
      <c r="D28" s="224">
        <f>Selections!C27</f>
        <v>5.0000000000000001E-3</v>
      </c>
      <c r="G28" s="263" t="s">
        <v>140</v>
      </c>
      <c r="H28" s="213">
        <f>H24*(1+$D$26)</f>
        <v>305.18286326216628</v>
      </c>
      <c r="J28" s="213">
        <f>J24*(1+$D$26)</f>
        <v>323.16863999999998</v>
      </c>
      <c r="K28" s="214"/>
      <c r="L28" s="214"/>
      <c r="M28" s="215">
        <f>M$24+$D$27</f>
        <v>0.36516949152542372</v>
      </c>
      <c r="N28" s="216">
        <f>N$24+$D$26*N$24</f>
        <v>108.375</v>
      </c>
      <c r="O28" s="217">
        <f>O$24+$D$28</f>
        <v>0.40574850299401194</v>
      </c>
      <c r="P28" s="216">
        <f>P$24+$D$26*P$24</f>
        <v>136.52699999999999</v>
      </c>
      <c r="Q28" s="217">
        <f>Q$24+$D$28</f>
        <v>0.255</v>
      </c>
      <c r="R28" s="216">
        <f>R$24+$D$26*R$24</f>
        <v>75.224999999999994</v>
      </c>
      <c r="S28" s="217">
        <f>S$24+$D$28</f>
        <v>0.28161290322580645</v>
      </c>
      <c r="T28" s="216">
        <f>T$24+$D$26*T$24</f>
        <v>87.465000000000003</v>
      </c>
    </row>
    <row r="29" spans="2:20" ht="14.45" x14ac:dyDescent="0.3">
      <c r="D29" s="263"/>
      <c r="G29" s="263"/>
      <c r="I29" s="344"/>
      <c r="J29" s="344"/>
      <c r="M29" s="262"/>
      <c r="N29" s="261"/>
      <c r="O29" s="74"/>
      <c r="P29" s="261"/>
      <c r="Q29" s="74"/>
      <c r="R29" s="261"/>
      <c r="S29" s="74"/>
      <c r="T29" s="261"/>
    </row>
    <row r="30" spans="2:20" ht="13.5" customHeight="1" x14ac:dyDescent="0.3">
      <c r="B30" s="307" t="s">
        <v>242</v>
      </c>
    </row>
    <row r="31" spans="2:20" ht="19.5" customHeight="1" x14ac:dyDescent="0.3">
      <c r="B31" s="241" t="s">
        <v>261</v>
      </c>
      <c r="C31" s="331"/>
      <c r="D31" s="242"/>
      <c r="E31" s="65"/>
      <c r="F31" s="65"/>
      <c r="G31" s="65"/>
      <c r="H31" s="464"/>
      <c r="I31" s="261"/>
      <c r="J31" s="261"/>
      <c r="K31" s="261"/>
      <c r="L31" s="261"/>
      <c r="M31" s="465"/>
      <c r="N31" s="466"/>
      <c r="O31" s="465"/>
      <c r="P31" s="466"/>
      <c r="Q31" s="74"/>
      <c r="R31" s="261"/>
      <c r="S31" s="74"/>
      <c r="T31" s="261"/>
    </row>
    <row r="32" spans="2:20" ht="43.5" customHeight="1" x14ac:dyDescent="0.3">
      <c r="B32" s="278"/>
      <c r="C32" s="284" t="s">
        <v>141</v>
      </c>
      <c r="D32" s="415" t="s">
        <v>234</v>
      </c>
      <c r="F32" s="322"/>
      <c r="G32" s="322"/>
      <c r="H32" s="322"/>
    </row>
    <row r="33" spans="2:8" ht="14.45" x14ac:dyDescent="0.3">
      <c r="B33" s="305">
        <v>1</v>
      </c>
      <c r="C33" s="284" t="s">
        <v>30</v>
      </c>
      <c r="D33" s="412">
        <v>6.4000000000000001E-2</v>
      </c>
    </row>
    <row r="34" spans="2:8" ht="14.45" x14ac:dyDescent="0.3">
      <c r="B34" s="264">
        <v>2</v>
      </c>
      <c r="C34" s="285" t="s">
        <v>33</v>
      </c>
      <c r="D34" s="413"/>
    </row>
    <row r="35" spans="2:8" ht="14.45" x14ac:dyDescent="0.3">
      <c r="B35" s="264">
        <v>3</v>
      </c>
      <c r="C35" s="285" t="s">
        <v>419</v>
      </c>
      <c r="D35" s="413">
        <v>0.03</v>
      </c>
    </row>
    <row r="36" spans="2:8" ht="14.45" x14ac:dyDescent="0.3">
      <c r="B36" s="264">
        <v>4</v>
      </c>
      <c r="C36" s="285" t="s">
        <v>144</v>
      </c>
      <c r="D36" s="413">
        <v>8.2000000000000003E-2</v>
      </c>
    </row>
    <row r="37" spans="2:8" ht="14.45" x14ac:dyDescent="0.3">
      <c r="B37" s="264">
        <v>5</v>
      </c>
      <c r="C37" s="285" t="s">
        <v>35</v>
      </c>
      <c r="D37" s="315">
        <v>0.65</v>
      </c>
    </row>
    <row r="38" spans="2:8" ht="14.45" x14ac:dyDescent="0.3">
      <c r="B38" s="264">
        <v>6</v>
      </c>
      <c r="C38" s="285" t="s">
        <v>38</v>
      </c>
      <c r="D38" s="315">
        <v>0.4</v>
      </c>
    </row>
    <row r="39" spans="2:8" ht="14.45" x14ac:dyDescent="0.3">
      <c r="B39" s="264">
        <v>7</v>
      </c>
      <c r="C39" s="285" t="s">
        <v>145</v>
      </c>
      <c r="D39" s="315">
        <v>0.4</v>
      </c>
    </row>
    <row r="40" spans="2:8" ht="13.5" customHeight="1" x14ac:dyDescent="0.3">
      <c r="B40" s="277">
        <v>8</v>
      </c>
      <c r="C40" s="325" t="s">
        <v>388</v>
      </c>
      <c r="D40" s="411">
        <v>0.4</v>
      </c>
    </row>
    <row r="41" spans="2:8" ht="13.5" customHeight="1" x14ac:dyDescent="0.3">
      <c r="B41" s="265"/>
    </row>
    <row r="42" spans="2:8" ht="13.5" customHeight="1" x14ac:dyDescent="0.3">
      <c r="B42" s="265"/>
    </row>
    <row r="43" spans="2:8" ht="30.75" customHeight="1" x14ac:dyDescent="0.3">
      <c r="B43" s="307" t="s">
        <v>34</v>
      </c>
      <c r="C43" s="259" t="s">
        <v>241</v>
      </c>
    </row>
    <row r="44" spans="2:8" ht="31.5" customHeight="1" x14ac:dyDescent="0.3">
      <c r="B44" s="318"/>
      <c r="C44" s="296" t="s">
        <v>146</v>
      </c>
      <c r="D44" s="290" t="s">
        <v>147</v>
      </c>
      <c r="E44" s="272" t="s">
        <v>148</v>
      </c>
      <c r="F44" s="279" t="s">
        <v>142</v>
      </c>
      <c r="G44" s="332"/>
      <c r="H44" s="345"/>
    </row>
    <row r="45" spans="2:8" ht="14.45" x14ac:dyDescent="0.3">
      <c r="B45" s="318"/>
      <c r="C45" s="296" t="s">
        <v>395</v>
      </c>
      <c r="D45" s="124">
        <f>1-D_T03!C50</f>
        <v>0.92999999999999994</v>
      </c>
      <c r="E45" s="141">
        <f>D_T03!C50</f>
        <v>7.0000000000000007E-2</v>
      </c>
      <c r="G45" s="322"/>
      <c r="H45" s="323"/>
    </row>
    <row r="46" spans="2:8" ht="15.75" customHeight="1" x14ac:dyDescent="0.3">
      <c r="B46" s="264">
        <v>1</v>
      </c>
      <c r="C46" s="239" t="str">
        <f>D_T03!B53</f>
        <v>Attic Air film</v>
      </c>
      <c r="D46" s="300">
        <f>D_T03!C53</f>
        <v>0.61</v>
      </c>
      <c r="E46" s="142">
        <f>D_T03!C53</f>
        <v>0.61</v>
      </c>
      <c r="F46" s="294"/>
      <c r="G46" s="322"/>
      <c r="H46" s="323"/>
    </row>
    <row r="47" spans="2:8" ht="15.75" customHeight="1" x14ac:dyDescent="0.3">
      <c r="B47" s="264">
        <v>2</v>
      </c>
      <c r="C47" s="239" t="str">
        <f>D_T03!B54</f>
        <v>Batt Insulation R30</v>
      </c>
      <c r="D47" s="120">
        <f>D_T03!C54</f>
        <v>30</v>
      </c>
      <c r="E47" s="143">
        <v>0</v>
      </c>
      <c r="F47" s="308"/>
      <c r="G47" s="322"/>
      <c r="H47" s="323"/>
    </row>
    <row r="48" spans="2:8" ht="15.75" customHeight="1" x14ac:dyDescent="0.3">
      <c r="B48" s="264">
        <v>3</v>
      </c>
      <c r="C48" s="239" t="str">
        <f>D_T03!B55</f>
        <v>Wood Stud 2 x 4: Nominal</v>
      </c>
      <c r="D48" s="120">
        <v>0</v>
      </c>
      <c r="E48" s="142">
        <f>D_T03!C55</f>
        <v>4.38</v>
      </c>
      <c r="F48" s="308"/>
      <c r="G48" s="322"/>
      <c r="H48" s="323"/>
    </row>
    <row r="49" spans="2:17" ht="15.75" customHeight="1" x14ac:dyDescent="0.3">
      <c r="B49" s="264">
        <v>4</v>
      </c>
      <c r="C49" s="239" t="str">
        <f>D_T03!B56</f>
        <v xml:space="preserve">0.5 Inch Drywall </v>
      </c>
      <c r="D49" s="300">
        <f>D_T03!C56</f>
        <v>0.45</v>
      </c>
      <c r="E49" s="142">
        <f>D_T03!C56</f>
        <v>0.45</v>
      </c>
      <c r="F49" s="308"/>
      <c r="G49" s="322"/>
      <c r="H49" s="323"/>
    </row>
    <row r="50" spans="2:17" ht="15.75" customHeight="1" x14ac:dyDescent="0.3">
      <c r="B50" s="264">
        <v>5</v>
      </c>
      <c r="C50" s="239" t="str">
        <f>D_T03!B57</f>
        <v>Indoor Air film</v>
      </c>
      <c r="D50" s="300">
        <f>D_T03!C57</f>
        <v>0.92</v>
      </c>
      <c r="E50" s="142">
        <f>D_T03!C57</f>
        <v>0.92</v>
      </c>
      <c r="F50" s="308"/>
      <c r="G50" s="322"/>
      <c r="H50" s="323"/>
    </row>
    <row r="51" spans="2:17" ht="15.75" customHeight="1" x14ac:dyDescent="0.3">
      <c r="B51" s="264"/>
      <c r="C51" s="321" t="s">
        <v>158</v>
      </c>
      <c r="D51" s="300">
        <f>SUM(D46:D50)</f>
        <v>31.98</v>
      </c>
      <c r="E51" s="142">
        <f>SUM(E46:E50)</f>
        <v>6.36</v>
      </c>
      <c r="F51" s="308"/>
      <c r="G51" s="322"/>
      <c r="H51" s="323"/>
    </row>
    <row r="52" spans="2:17" ht="15.75" customHeight="1" x14ac:dyDescent="0.3">
      <c r="B52" s="277"/>
      <c r="C52" s="325" t="s">
        <v>159</v>
      </c>
      <c r="D52" s="123">
        <f>1/D51</f>
        <v>3.1269543464665414E-2</v>
      </c>
      <c r="E52" s="144">
        <f>1/E51</f>
        <v>0.15723270440251572</v>
      </c>
      <c r="F52" s="308"/>
      <c r="G52" s="322"/>
      <c r="H52" s="323"/>
    </row>
    <row r="53" spans="2:17" ht="18" customHeight="1" x14ac:dyDescent="0.3">
      <c r="B53" s="264"/>
      <c r="C53" s="329" t="s">
        <v>160</v>
      </c>
      <c r="D53" s="119">
        <f>D52*D45+E52*E45</f>
        <v>4.0086964730314936E-2</v>
      </c>
      <c r="E53" s="323"/>
      <c r="F53" s="308" t="s">
        <v>83</v>
      </c>
      <c r="G53" s="322"/>
      <c r="H53" s="323"/>
    </row>
    <row r="54" spans="2:17" ht="18" customHeight="1" x14ac:dyDescent="0.3">
      <c r="B54" s="277"/>
      <c r="C54" s="325" t="s">
        <v>161</v>
      </c>
      <c r="D54" s="128">
        <f>1/D53</f>
        <v>24.945764956950477</v>
      </c>
      <c r="E54" s="327"/>
      <c r="F54" s="324"/>
      <c r="G54" s="326"/>
      <c r="H54" s="327"/>
    </row>
    <row r="55" spans="2:17" ht="14.45" x14ac:dyDescent="0.3">
      <c r="B55" s="263"/>
      <c r="F55" s="322"/>
      <c r="G55" s="322"/>
      <c r="H55" s="322"/>
    </row>
    <row r="56" spans="2:17" ht="14.45" x14ac:dyDescent="0.3">
      <c r="B56" s="263"/>
      <c r="F56" s="322"/>
      <c r="G56" s="322"/>
      <c r="H56" s="322"/>
    </row>
    <row r="57" spans="2:17" ht="14.45" x14ac:dyDescent="0.3">
      <c r="B57" s="263"/>
      <c r="F57" s="322"/>
      <c r="G57" s="322"/>
      <c r="H57" s="322"/>
    </row>
    <row r="58" spans="2:17" ht="35.25" customHeight="1" x14ac:dyDescent="0.3">
      <c r="B58" s="307" t="s">
        <v>36</v>
      </c>
      <c r="C58" s="259" t="s">
        <v>239</v>
      </c>
      <c r="F58" s="322"/>
      <c r="G58" s="322"/>
      <c r="H58" s="322"/>
      <c r="K58" s="322"/>
      <c r="L58" s="322"/>
      <c r="M58" s="322"/>
      <c r="N58" s="322"/>
      <c r="O58" s="322"/>
      <c r="P58" s="322"/>
      <c r="Q58" s="322"/>
    </row>
    <row r="59" spans="2:17" ht="33" customHeight="1" x14ac:dyDescent="0.3">
      <c r="B59" s="279"/>
      <c r="C59" s="271" t="s">
        <v>146</v>
      </c>
      <c r="D59" s="290" t="s">
        <v>147</v>
      </c>
      <c r="E59" s="272" t="s">
        <v>148</v>
      </c>
      <c r="F59" s="279" t="s">
        <v>142</v>
      </c>
      <c r="G59" s="332"/>
      <c r="H59" s="345"/>
      <c r="K59" s="322"/>
      <c r="L59" s="378"/>
      <c r="M59" s="129"/>
      <c r="N59" s="129"/>
      <c r="O59" s="265"/>
      <c r="P59" s="322"/>
      <c r="Q59" s="322"/>
    </row>
    <row r="60" spans="2:17" ht="14.45" x14ac:dyDescent="0.3">
      <c r="B60" s="318"/>
      <c r="C60" s="296" t="s">
        <v>150</v>
      </c>
      <c r="D60" s="134">
        <f>1-D_T03!C62</f>
        <v>0.75</v>
      </c>
      <c r="E60" s="124">
        <f>D_T03!C62</f>
        <v>0.25</v>
      </c>
      <c r="G60" s="322"/>
      <c r="H60" s="323"/>
      <c r="K60" s="322"/>
      <c r="L60" s="378"/>
      <c r="M60" s="129"/>
      <c r="N60" s="129"/>
      <c r="O60" s="265"/>
      <c r="P60" s="322"/>
      <c r="Q60" s="322"/>
    </row>
    <row r="61" spans="2:17" ht="14.45" x14ac:dyDescent="0.3">
      <c r="B61" s="264">
        <v>1</v>
      </c>
      <c r="C61" s="239" t="str">
        <f>D_T03!B66</f>
        <v>Outside Air Film (7.5 mph wind, Summer)</v>
      </c>
      <c r="D61" s="340">
        <f>D_T03!C66</f>
        <v>0.25</v>
      </c>
      <c r="E61" s="121">
        <f>D_T03!C66</f>
        <v>0.25</v>
      </c>
      <c r="F61" s="308"/>
      <c r="G61" s="322"/>
      <c r="H61" s="323"/>
      <c r="K61" s="265"/>
      <c r="L61" s="322"/>
      <c r="M61" s="265"/>
      <c r="N61" s="265"/>
      <c r="O61" s="322"/>
      <c r="P61" s="322"/>
      <c r="Q61" s="322"/>
    </row>
    <row r="62" spans="2:17" ht="14.45" x14ac:dyDescent="0.3">
      <c r="B62" s="264">
        <v>2</v>
      </c>
      <c r="C62" s="239" t="str">
        <f>D_T03!B67</f>
        <v>Stucco (0.8 Inch thick, conductivity=9.7 Btu-in/h-ft2-°F)</v>
      </c>
      <c r="D62" s="119">
        <f>D_T03!C67</f>
        <v>8.2474226804123724E-2</v>
      </c>
      <c r="E62" s="119">
        <f>D_T03!C67</f>
        <v>8.2474226804123724E-2</v>
      </c>
      <c r="F62" s="308"/>
      <c r="G62" s="322"/>
      <c r="H62" s="323"/>
      <c r="K62" s="265"/>
      <c r="L62" s="322"/>
      <c r="M62" s="268"/>
      <c r="N62" s="268"/>
      <c r="O62" s="322"/>
      <c r="P62" s="322"/>
      <c r="Q62" s="322"/>
    </row>
    <row r="63" spans="2:17" ht="14.45" x14ac:dyDescent="0.3">
      <c r="B63" s="264">
        <v>3</v>
      </c>
      <c r="C63" s="239" t="str">
        <f>D_T03!B68</f>
        <v>Continuous Rigid Insulation R5</v>
      </c>
      <c r="D63" s="137">
        <f>D_T03!C68</f>
        <v>5</v>
      </c>
      <c r="E63" s="120">
        <f>D_T03!C68</f>
        <v>5</v>
      </c>
      <c r="F63" s="308"/>
      <c r="G63" s="322"/>
      <c r="H63" s="323"/>
      <c r="K63" s="265"/>
      <c r="L63" s="322"/>
      <c r="M63" s="267"/>
      <c r="N63" s="267"/>
      <c r="O63" s="322"/>
      <c r="P63" s="322"/>
      <c r="Q63" s="322"/>
    </row>
    <row r="64" spans="2:17" ht="14.45" x14ac:dyDescent="0.3">
      <c r="B64" s="264">
        <v>4</v>
      </c>
      <c r="C64" s="239" t="str">
        <f>D_T03!B69</f>
        <v>Asphalt Building Paper #30 (equivalent)</v>
      </c>
      <c r="D64" s="137">
        <f>D_T03!C69</f>
        <v>0.15</v>
      </c>
      <c r="E64" s="300">
        <f>D_T03!C69</f>
        <v>0.15</v>
      </c>
      <c r="F64" s="308"/>
      <c r="G64" s="322"/>
      <c r="H64" s="323"/>
      <c r="K64" s="265"/>
      <c r="L64" s="322"/>
      <c r="M64" s="446"/>
      <c r="N64" s="267"/>
      <c r="O64" s="322"/>
      <c r="P64" s="322"/>
      <c r="Q64" s="322"/>
    </row>
    <row r="65" spans="2:17" ht="14.45" x14ac:dyDescent="0.3">
      <c r="B65" s="264">
        <v>5</v>
      </c>
      <c r="C65" s="239" t="str">
        <f>D_T03!B70</f>
        <v>0.5 Inch Plywood Exterior</v>
      </c>
      <c r="D65" s="137">
        <f>D_T03!C70</f>
        <v>0.79</v>
      </c>
      <c r="E65" s="121">
        <f>D_T03!C70</f>
        <v>0.79</v>
      </c>
      <c r="F65" s="308"/>
      <c r="G65" s="322"/>
      <c r="H65" s="323"/>
      <c r="K65" s="265"/>
      <c r="L65" s="322"/>
      <c r="M65" s="267"/>
      <c r="N65" s="446"/>
      <c r="O65" s="322"/>
      <c r="P65" s="322"/>
      <c r="Q65" s="322"/>
    </row>
    <row r="66" spans="2:17" ht="14.45" x14ac:dyDescent="0.3">
      <c r="B66" s="264">
        <v>6</v>
      </c>
      <c r="C66" s="239" t="str">
        <f>D_T03!B71</f>
        <v>Wood Stud 2 x 4: Nominal</v>
      </c>
      <c r="D66" s="137">
        <v>0</v>
      </c>
      <c r="E66" s="121">
        <f>D_T03!C71</f>
        <v>4.38</v>
      </c>
      <c r="F66" s="308"/>
      <c r="G66" s="322"/>
      <c r="H66" s="323"/>
      <c r="K66" s="265"/>
      <c r="L66" s="322"/>
      <c r="M66" s="265"/>
      <c r="N66" s="265"/>
      <c r="O66" s="322"/>
      <c r="P66" s="322"/>
      <c r="Q66" s="322"/>
    </row>
    <row r="67" spans="2:17" ht="14.45" x14ac:dyDescent="0.3">
      <c r="B67" s="264">
        <v>7</v>
      </c>
      <c r="C67" s="239" t="str">
        <f>D_T03!B72</f>
        <v>Fiber Glass Batt Insulation R13</v>
      </c>
      <c r="D67" s="120">
        <f>D_T03!C72</f>
        <v>13</v>
      </c>
      <c r="E67" s="121">
        <v>0</v>
      </c>
      <c r="F67" s="308"/>
      <c r="G67" s="322"/>
      <c r="H67" s="323"/>
      <c r="K67" s="265"/>
      <c r="L67" s="322"/>
      <c r="M67" s="265"/>
      <c r="N67" s="265"/>
      <c r="O67" s="322"/>
      <c r="P67" s="322"/>
      <c r="Q67" s="322"/>
    </row>
    <row r="68" spans="2:17" ht="14.45" x14ac:dyDescent="0.3">
      <c r="B68" s="264">
        <v>8</v>
      </c>
      <c r="C68" s="239" t="str">
        <f>D_T03!B73</f>
        <v xml:space="preserve">0.5 Inch Drywall </v>
      </c>
      <c r="D68" s="340">
        <f>D_T03!C73</f>
        <v>0.45</v>
      </c>
      <c r="E68" s="121">
        <f>D_T03!C73</f>
        <v>0.45</v>
      </c>
      <c r="F68" s="308"/>
      <c r="G68" s="322"/>
      <c r="H68" s="323"/>
      <c r="K68" s="265"/>
      <c r="L68" s="322"/>
      <c r="M68" s="267"/>
      <c r="N68" s="267"/>
      <c r="O68" s="322"/>
      <c r="P68" s="322"/>
      <c r="Q68" s="322"/>
    </row>
    <row r="69" spans="2:17" ht="14.45" x14ac:dyDescent="0.3">
      <c r="B69" s="264">
        <v>9</v>
      </c>
      <c r="C69" s="239" t="str">
        <f>D_T03!B74</f>
        <v>Indoor Air Film</v>
      </c>
      <c r="D69" s="340">
        <f>D_T03!C74</f>
        <v>0.68</v>
      </c>
      <c r="E69" s="121">
        <f>D_T03!C74</f>
        <v>0.68</v>
      </c>
      <c r="F69" s="308"/>
      <c r="G69" s="322"/>
      <c r="H69" s="323"/>
      <c r="K69" s="265"/>
      <c r="L69" s="322"/>
      <c r="M69" s="265"/>
      <c r="N69" s="265"/>
      <c r="O69" s="322"/>
      <c r="P69" s="322"/>
      <c r="Q69" s="322"/>
    </row>
    <row r="70" spans="2:17" ht="14.45" x14ac:dyDescent="0.3">
      <c r="B70" s="264"/>
      <c r="C70" s="321" t="s">
        <v>169</v>
      </c>
      <c r="D70" s="137">
        <f>SUM(D61:D69)</f>
        <v>20.402474226804124</v>
      </c>
      <c r="E70" s="300">
        <f>SUM(E61:E69)</f>
        <v>11.782474226804123</v>
      </c>
      <c r="F70" s="308"/>
      <c r="G70" s="322"/>
      <c r="H70" s="323"/>
    </row>
    <row r="71" spans="2:17" ht="14.45" x14ac:dyDescent="0.3">
      <c r="B71" s="324"/>
      <c r="C71" s="325" t="s">
        <v>170</v>
      </c>
      <c r="D71" s="341">
        <f>1/D70</f>
        <v>4.9013663190233647E-2</v>
      </c>
      <c r="E71" s="119">
        <f>1/E70</f>
        <v>8.4871817306851005E-2</v>
      </c>
      <c r="F71" s="308"/>
      <c r="G71" s="322"/>
      <c r="H71" s="323"/>
    </row>
    <row r="72" spans="2:17" ht="16.5" customHeight="1" x14ac:dyDescent="0.3">
      <c r="B72" s="308"/>
      <c r="C72" s="308" t="s">
        <v>160</v>
      </c>
      <c r="D72" s="342">
        <f>D71*D60+E71*E60</f>
        <v>5.7978201719387987E-2</v>
      </c>
      <c r="E72" s="336"/>
      <c r="F72" s="308" t="s">
        <v>83</v>
      </c>
      <c r="G72" s="322"/>
      <c r="H72" s="323"/>
    </row>
    <row r="73" spans="2:17" ht="16.5" customHeight="1" x14ac:dyDescent="0.3">
      <c r="B73" s="279"/>
      <c r="C73" s="279" t="s">
        <v>161</v>
      </c>
      <c r="D73" s="139">
        <f>1/D72</f>
        <v>17.247861615990733</v>
      </c>
      <c r="E73" s="336"/>
      <c r="F73" s="277"/>
      <c r="G73" s="326"/>
      <c r="H73" s="327"/>
    </row>
    <row r="76" spans="2:17" ht="19.5" customHeight="1" x14ac:dyDescent="0.3"/>
    <row r="92" ht="20.25" customHeight="1" x14ac:dyDescent="0.3"/>
  </sheetData>
  <sheetProtection password="BDDF" sheet="1" objects="1" scenarios="1"/>
  <mergeCells count="13">
    <mergeCell ref="O6:P6"/>
    <mergeCell ref="Q6:R6"/>
    <mergeCell ref="S6:T6"/>
    <mergeCell ref="K5:L5"/>
    <mergeCell ref="M5:N5"/>
    <mergeCell ref="O5:P5"/>
    <mergeCell ref="Q5:R5"/>
    <mergeCell ref="S5:T5"/>
    <mergeCell ref="D6:F6"/>
    <mergeCell ref="G6:H6"/>
    <mergeCell ref="I6:J6"/>
    <mergeCell ref="K6:L6"/>
    <mergeCell ref="M6:N6"/>
  </mergeCells>
  <dataValidations count="1">
    <dataValidation type="list" allowBlank="1" showInputMessage="1" showErrorMessage="1" sqref="F53 F72">
      <formula1>UCalcMethod</formula1>
    </dataValidation>
  </dataValidations>
  <pageMargins left="0.7" right="0.7" top="0.75" bottom="0.75" header="0.3" footer="0.3"/>
  <pageSetup scale="34" fitToHeight="0" orientation="portrait"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32</vt:i4>
      </vt:variant>
    </vt:vector>
  </HeadingPairs>
  <TitlesOfParts>
    <vt:vector size="52" baseType="lpstr">
      <vt:lpstr>Instructions</vt:lpstr>
      <vt:lpstr>V_T01</vt:lpstr>
      <vt:lpstr>UA_T01</vt:lpstr>
      <vt:lpstr>D_T01</vt:lpstr>
      <vt:lpstr>V_T02</vt:lpstr>
      <vt:lpstr>UA_T02</vt:lpstr>
      <vt:lpstr>D_T02</vt:lpstr>
      <vt:lpstr>V_T03</vt:lpstr>
      <vt:lpstr>UA_T03</vt:lpstr>
      <vt:lpstr>D_T03</vt:lpstr>
      <vt:lpstr>V_M01</vt:lpstr>
      <vt:lpstr>UA_M01</vt:lpstr>
      <vt:lpstr>D_M01</vt:lpstr>
      <vt:lpstr>V_M02</vt:lpstr>
      <vt:lpstr>UA_M02</vt:lpstr>
      <vt:lpstr>D_M02</vt:lpstr>
      <vt:lpstr>V_M03</vt:lpstr>
      <vt:lpstr>UA_M03</vt:lpstr>
      <vt:lpstr>D_M03</vt:lpstr>
      <vt:lpstr>Selections</vt:lpstr>
      <vt:lpstr>AirHandler</vt:lpstr>
      <vt:lpstr>Ceiling</vt:lpstr>
      <vt:lpstr>Complies</vt:lpstr>
      <vt:lpstr>Cooling</vt:lpstr>
      <vt:lpstr>Door</vt:lpstr>
      <vt:lpstr>DuctTightness</vt:lpstr>
      <vt:lpstr>Floor</vt:lpstr>
      <vt:lpstr>Heating</vt:lpstr>
      <vt:lpstr>HotWaterCirculation</vt:lpstr>
      <vt:lpstr>HotWaterLines</vt:lpstr>
      <vt:lpstr>HotWaterSystem</vt:lpstr>
      <vt:lpstr>Infiltration</vt:lpstr>
      <vt:lpstr>Lighting</vt:lpstr>
      <vt:lpstr>MechanicalVent</vt:lpstr>
      <vt:lpstr>OverallFenSHGC</vt:lpstr>
      <vt:lpstr>OverallFenU</vt:lpstr>
      <vt:lpstr>PoolandSpa</vt:lpstr>
      <vt:lpstr>UA_M02!Print_Area</vt:lpstr>
      <vt:lpstr>V_M01!Print_Area</vt:lpstr>
      <vt:lpstr>V_M02!Print_Area</vt:lpstr>
      <vt:lpstr>V_M03!Print_Area</vt:lpstr>
      <vt:lpstr>V_T01!Print_Area</vt:lpstr>
      <vt:lpstr>V_T02!Print_Area</vt:lpstr>
      <vt:lpstr>V_T03!Print_Area</vt:lpstr>
      <vt:lpstr>ReturnDucts</vt:lpstr>
      <vt:lpstr>Roof</vt:lpstr>
      <vt:lpstr>Skylight</vt:lpstr>
      <vt:lpstr>SupplyDucts</vt:lpstr>
      <vt:lpstr>TotalUA</vt:lpstr>
      <vt:lpstr>UCalcMethod</vt:lpstr>
      <vt:lpstr>Wall</vt:lpstr>
      <vt:lpstr>Window</vt:lpstr>
    </vt:vector>
  </TitlesOfParts>
  <Company>FSEC/BR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Vieira</dc:creator>
  <cp:lastModifiedBy>Bereket Nigusse</cp:lastModifiedBy>
  <cp:lastPrinted>2014-06-14T21:01:52Z</cp:lastPrinted>
  <dcterms:created xsi:type="dcterms:W3CDTF">2014-06-05T15:00:11Z</dcterms:created>
  <dcterms:modified xsi:type="dcterms:W3CDTF">2014-06-25T19:00:55Z</dcterms:modified>
</cp:coreProperties>
</file>